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 firstSheet="2" activeTab="4"/>
  </bookViews>
  <sheets>
    <sheet name="Lap Ev Renja TW 1 " sheetId="7" r:id="rId1"/>
    <sheet name="contoh Form Lap Ev. Renstra" sheetId="8" r:id="rId2"/>
    <sheet name="Lap. Evaluasi Renstra 2020" sheetId="10" r:id="rId3"/>
    <sheet name="Lap. evaluasi renja semester 1" sheetId="12" r:id="rId4"/>
    <sheet name="Lap. evaluasi renja semeste (2" sheetId="14" r:id="rId5"/>
    <sheet name="Sheet1" sheetId="13" r:id="rId6"/>
  </sheets>
  <definedNames>
    <definedName name="_xlnm.Print_Area" localSheetId="0">'Lap Ev Renja TW 1 '!$A$3:$Z$78</definedName>
    <definedName name="_xlnm.Print_Area" localSheetId="4">'Lap. evaluasi renja semeste (2'!$A$3:$AB$78</definedName>
    <definedName name="_xlnm.Print_Area" localSheetId="3">'Lap. evaluasi renja semester 1'!$A$3:$AB$78</definedName>
    <definedName name="_xlnm.Print_Area" localSheetId="2">'Lap. Evaluasi Renstra 2020'!$A$1:$AS$160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4" l="1"/>
  <c r="U62" i="14" s="1"/>
  <c r="R62" i="14"/>
  <c r="U46" i="14"/>
  <c r="R46" i="14"/>
  <c r="R53" i="14"/>
  <c r="U53" i="14"/>
  <c r="U57" i="14"/>
  <c r="R57" i="14"/>
  <c r="U54" i="14"/>
  <c r="R54" i="14"/>
  <c r="P53" i="14"/>
  <c r="U48" i="14"/>
  <c r="U49" i="14"/>
  <c r="U47" i="14"/>
  <c r="R49" i="14"/>
  <c r="R48" i="14"/>
  <c r="R47" i="14"/>
  <c r="P46" i="14"/>
  <c r="P41" i="14" l="1"/>
  <c r="R41" i="14"/>
  <c r="U36" i="14"/>
  <c r="U37" i="14"/>
  <c r="U42" i="14"/>
  <c r="R42" i="14"/>
  <c r="R36" i="14"/>
  <c r="R37" i="14"/>
  <c r="U28" i="14"/>
  <c r="R28" i="14"/>
  <c r="U29" i="14"/>
  <c r="R29" i="14"/>
  <c r="U11" i="14"/>
  <c r="R11" i="14"/>
  <c r="R25" i="14"/>
  <c r="R24" i="14"/>
  <c r="R23" i="14"/>
  <c r="R22" i="14"/>
  <c r="R21" i="14"/>
  <c r="R20" i="14"/>
  <c r="R19" i="14"/>
  <c r="R18" i="14" l="1"/>
  <c r="U18" i="14" s="1"/>
  <c r="R17" i="14"/>
  <c r="U17" i="14" s="1"/>
  <c r="R16" i="14"/>
  <c r="U16" i="14" s="1"/>
  <c r="R15" i="14"/>
  <c r="U15" i="14" s="1"/>
  <c r="R14" i="14"/>
  <c r="U14" i="14" s="1"/>
  <c r="U24" i="14"/>
  <c r="U25" i="14"/>
  <c r="U21" i="14"/>
  <c r="U22" i="14"/>
  <c r="U23" i="14"/>
  <c r="U19" i="14"/>
  <c r="X19" i="14" s="1"/>
  <c r="U20" i="14"/>
  <c r="V19" i="14"/>
  <c r="U13" i="14"/>
  <c r="R13" i="14"/>
  <c r="R12" i="14"/>
  <c r="U12" i="14" s="1"/>
  <c r="P28" i="14"/>
  <c r="R28" i="12" l="1"/>
  <c r="P28" i="12"/>
  <c r="AT66" i="14"/>
  <c r="AS66" i="14"/>
  <c r="AJ66" i="14"/>
  <c r="AI66" i="14"/>
  <c r="AH66" i="14"/>
  <c r="AG66" i="14"/>
  <c r="V59" i="14"/>
  <c r="V66" i="14" s="1"/>
  <c r="U59" i="14"/>
  <c r="X59" i="14" s="1"/>
  <c r="X58" i="14"/>
  <c r="AA58" i="14" s="1"/>
  <c r="V58" i="14"/>
  <c r="U58" i="14"/>
  <c r="S58" i="14"/>
  <c r="F58" i="14"/>
  <c r="F59" i="14" s="1"/>
  <c r="V57" i="14"/>
  <c r="Y57" i="14" s="1"/>
  <c r="X57" i="14"/>
  <c r="AA57" i="14" s="1"/>
  <c r="S57" i="14"/>
  <c r="E57" i="14"/>
  <c r="AA56" i="14"/>
  <c r="X56" i="14"/>
  <c r="U56" i="14"/>
  <c r="S56" i="14"/>
  <c r="V56" i="14" s="1"/>
  <c r="F56" i="14"/>
  <c r="V55" i="14"/>
  <c r="U55" i="14"/>
  <c r="X55" i="14" s="1"/>
  <c r="S55" i="14"/>
  <c r="X54" i="14"/>
  <c r="AA54" i="14" s="1"/>
  <c r="S54" i="14"/>
  <c r="V54" i="14" s="1"/>
  <c r="E54" i="14"/>
  <c r="E53" i="14" s="1"/>
  <c r="O53" i="14"/>
  <c r="O60" i="14" s="1"/>
  <c r="M53" i="14"/>
  <c r="M60" i="14" s="1"/>
  <c r="L53" i="14"/>
  <c r="J53" i="14"/>
  <c r="I53" i="14"/>
  <c r="H53" i="14"/>
  <c r="G53" i="14"/>
  <c r="O51" i="14"/>
  <c r="U51" i="14" s="1"/>
  <c r="X49" i="14"/>
  <c r="AA49" i="14" s="1"/>
  <c r="V49" i="14"/>
  <c r="Y49" i="14" s="1"/>
  <c r="S49" i="14"/>
  <c r="G49" i="14"/>
  <c r="G46" i="14" s="1"/>
  <c r="E49" i="14"/>
  <c r="X48" i="14"/>
  <c r="AA48" i="14" s="1"/>
  <c r="V48" i="14"/>
  <c r="Y48" i="14" s="1"/>
  <c r="S48" i="14"/>
  <c r="E48" i="14"/>
  <c r="X47" i="14"/>
  <c r="X46" i="14" s="1"/>
  <c r="S47" i="14"/>
  <c r="V47" i="14" s="1"/>
  <c r="E47" i="14"/>
  <c r="S46" i="14"/>
  <c r="O46" i="14"/>
  <c r="M46" i="14"/>
  <c r="M51" i="14" s="1"/>
  <c r="S51" i="14" s="1"/>
  <c r="L46" i="14"/>
  <c r="J46" i="14"/>
  <c r="I46" i="14"/>
  <c r="H46" i="14"/>
  <c r="E46" i="14"/>
  <c r="S44" i="14"/>
  <c r="O44" i="14"/>
  <c r="U44" i="14" s="1"/>
  <c r="M44" i="14"/>
  <c r="X43" i="14"/>
  <c r="AA43" i="14" s="1"/>
  <c r="U43" i="14"/>
  <c r="S43" i="14"/>
  <c r="V43" i="14" s="1"/>
  <c r="Y43" i="14" s="1"/>
  <c r="V42" i="14"/>
  <c r="Y42" i="14" s="1"/>
  <c r="X42" i="14"/>
  <c r="S42" i="14"/>
  <c r="S41" i="14" s="1"/>
  <c r="E42" i="14"/>
  <c r="U41" i="14"/>
  <c r="O41" i="14"/>
  <c r="M41" i="14"/>
  <c r="L41" i="14"/>
  <c r="J41" i="14"/>
  <c r="I40" i="14"/>
  <c r="H40" i="14"/>
  <c r="G40" i="14"/>
  <c r="E40" i="14"/>
  <c r="U38" i="14"/>
  <c r="U66" i="14" s="1"/>
  <c r="X37" i="14"/>
  <c r="S37" i="14"/>
  <c r="V37" i="14" s="1"/>
  <c r="E37" i="14"/>
  <c r="S36" i="14"/>
  <c r="O36" i="14"/>
  <c r="M36" i="14"/>
  <c r="M38" i="14" s="1"/>
  <c r="S38" i="14" s="1"/>
  <c r="L36" i="14"/>
  <c r="J36" i="14"/>
  <c r="I36" i="14"/>
  <c r="H36" i="14"/>
  <c r="G36" i="14"/>
  <c r="E36" i="14"/>
  <c r="M34" i="14"/>
  <c r="S34" i="14" s="1"/>
  <c r="X33" i="14"/>
  <c r="AA33" i="14" s="1"/>
  <c r="U33" i="14"/>
  <c r="S33" i="14"/>
  <c r="V33" i="14" s="1"/>
  <c r="E33" i="14"/>
  <c r="X32" i="14"/>
  <c r="S32" i="14"/>
  <c r="O32" i="14"/>
  <c r="U34" i="14" s="1"/>
  <c r="L32" i="14"/>
  <c r="J32" i="14"/>
  <c r="I32" i="14"/>
  <c r="H32" i="14"/>
  <c r="G32" i="14"/>
  <c r="E32" i="14"/>
  <c r="X29" i="14"/>
  <c r="S29" i="14"/>
  <c r="V29" i="14" s="1"/>
  <c r="E29" i="14"/>
  <c r="O28" i="14"/>
  <c r="M28" i="14"/>
  <c r="M30" i="14" s="1"/>
  <c r="S30" i="14" s="1"/>
  <c r="L28" i="14"/>
  <c r="J28" i="14"/>
  <c r="I28" i="14"/>
  <c r="H28" i="14"/>
  <c r="G28" i="14"/>
  <c r="E28" i="14"/>
  <c r="M26" i="14"/>
  <c r="X25" i="14"/>
  <c r="AA25" i="14" s="1"/>
  <c r="S25" i="14"/>
  <c r="V25" i="14" s="1"/>
  <c r="Y25" i="14" s="1"/>
  <c r="E25" i="14"/>
  <c r="V24" i="14"/>
  <c r="Y24" i="14" s="1"/>
  <c r="X24" i="14"/>
  <c r="AA24" i="14" s="1"/>
  <c r="S24" i="14"/>
  <c r="E24" i="14"/>
  <c r="AG23" i="14"/>
  <c r="V23" i="14"/>
  <c r="Y23" i="14" s="1"/>
  <c r="X23" i="14"/>
  <c r="AA23" i="14" s="1"/>
  <c r="S23" i="14"/>
  <c r="E23" i="14"/>
  <c r="X22" i="14"/>
  <c r="AA22" i="14" s="1"/>
  <c r="S22" i="14"/>
  <c r="V22" i="14" s="1"/>
  <c r="Y22" i="14" s="1"/>
  <c r="E22" i="14"/>
  <c r="X21" i="14"/>
  <c r="AA21" i="14" s="1"/>
  <c r="S21" i="14"/>
  <c r="V21" i="14" s="1"/>
  <c r="Y21" i="14" s="1"/>
  <c r="E21" i="14"/>
  <c r="X20" i="14"/>
  <c r="AA20" i="14" s="1"/>
  <c r="S20" i="14"/>
  <c r="V20" i="14" s="1"/>
  <c r="Y20" i="14" s="1"/>
  <c r="E20" i="14"/>
  <c r="AA19" i="14"/>
  <c r="Y19" i="14"/>
  <c r="S19" i="14"/>
  <c r="E19" i="14"/>
  <c r="V18" i="14"/>
  <c r="Y18" i="14" s="1"/>
  <c r="X18" i="14"/>
  <c r="AA18" i="14" s="1"/>
  <c r="S18" i="14"/>
  <c r="E18" i="14"/>
  <c r="X17" i="14"/>
  <c r="AA17" i="14" s="1"/>
  <c r="S17" i="14"/>
  <c r="V17" i="14" s="1"/>
  <c r="Y17" i="14" s="1"/>
  <c r="E17" i="14"/>
  <c r="X16" i="14"/>
  <c r="AA16" i="14" s="1"/>
  <c r="S16" i="14"/>
  <c r="V16" i="14" s="1"/>
  <c r="Y16" i="14" s="1"/>
  <c r="E16" i="14"/>
  <c r="X15" i="14"/>
  <c r="AA15" i="14" s="1"/>
  <c r="V15" i="14"/>
  <c r="Y15" i="14" s="1"/>
  <c r="S15" i="14"/>
  <c r="E15" i="14"/>
  <c r="V14" i="14"/>
  <c r="Y14" i="14" s="1"/>
  <c r="X14" i="14"/>
  <c r="AA14" i="14" s="1"/>
  <c r="S14" i="14"/>
  <c r="E14" i="14"/>
  <c r="AE13" i="14"/>
  <c r="V13" i="14"/>
  <c r="Y13" i="14" s="1"/>
  <c r="X13" i="14"/>
  <c r="AA13" i="14" s="1"/>
  <c r="S13" i="14"/>
  <c r="E13" i="14"/>
  <c r="X12" i="14"/>
  <c r="S12" i="14"/>
  <c r="V12" i="14" s="1"/>
  <c r="E12" i="14"/>
  <c r="E11" i="14" s="1"/>
  <c r="S11" i="14"/>
  <c r="P11" i="14"/>
  <c r="O11" i="14"/>
  <c r="M11" i="14"/>
  <c r="L11" i="14"/>
  <c r="J11" i="14"/>
  <c r="I11" i="14"/>
  <c r="H11" i="14"/>
  <c r="G11" i="14"/>
  <c r="E13" i="12"/>
  <c r="O11" i="12"/>
  <c r="P11" i="12"/>
  <c r="S28" i="14" l="1"/>
  <c r="L62" i="14"/>
  <c r="O26" i="14"/>
  <c r="U26" i="14" s="1"/>
  <c r="Y29" i="14"/>
  <c r="V28" i="14"/>
  <c r="X36" i="14"/>
  <c r="AA37" i="14"/>
  <c r="AA29" i="14"/>
  <c r="X28" i="14"/>
  <c r="V32" i="14"/>
  <c r="Y33" i="14"/>
  <c r="AA51" i="14"/>
  <c r="AA46" i="14"/>
  <c r="Y54" i="14"/>
  <c r="V53" i="14"/>
  <c r="X53" i="14"/>
  <c r="AA55" i="14"/>
  <c r="AA60" i="14" s="1"/>
  <c r="X66" i="14"/>
  <c r="AA59" i="14"/>
  <c r="Y12" i="14"/>
  <c r="V11" i="14"/>
  <c r="AA42" i="14"/>
  <c r="X41" i="14"/>
  <c r="M63" i="14"/>
  <c r="S63" i="14" s="1"/>
  <c r="S60" i="14"/>
  <c r="X11" i="14"/>
  <c r="AA12" i="14"/>
  <c r="AA34" i="14"/>
  <c r="AA32" i="14"/>
  <c r="Y37" i="14"/>
  <c r="V36" i="14"/>
  <c r="Y41" i="14"/>
  <c r="Y44" i="14"/>
  <c r="Y47" i="14"/>
  <c r="V46" i="14"/>
  <c r="U60" i="14"/>
  <c r="O30" i="14"/>
  <c r="U30" i="14" s="1"/>
  <c r="V41" i="14"/>
  <c r="S53" i="14"/>
  <c r="U32" i="14"/>
  <c r="U63" i="14"/>
  <c r="O53" i="12"/>
  <c r="AA30" i="14" l="1"/>
  <c r="AA28" i="14"/>
  <c r="Y30" i="14"/>
  <c r="Y28" i="14"/>
  <c r="AA53" i="14"/>
  <c r="AA26" i="14"/>
  <c r="AA63" i="14" s="1"/>
  <c r="AA11" i="14"/>
  <c r="AA66" i="14"/>
  <c r="Y34" i="14"/>
  <c r="Y32" i="14"/>
  <c r="AA38" i="14"/>
  <c r="AA36" i="14"/>
  <c r="O63" i="14"/>
  <c r="Y26" i="14"/>
  <c r="Y11" i="14"/>
  <c r="Y51" i="14"/>
  <c r="Y46" i="14"/>
  <c r="Y38" i="14"/>
  <c r="Y66" i="14" s="1"/>
  <c r="Y36" i="14"/>
  <c r="AA41" i="14"/>
  <c r="AA44" i="14"/>
  <c r="Y60" i="14"/>
  <c r="Y63" i="14" s="1"/>
  <c r="Y53" i="14"/>
  <c r="AA53" i="12"/>
  <c r="Y53" i="12"/>
  <c r="X53" i="12"/>
  <c r="V53" i="12"/>
  <c r="S53" i="12"/>
  <c r="Y47" i="12"/>
  <c r="Y46" i="12" s="1"/>
  <c r="AA46" i="12"/>
  <c r="X46" i="12"/>
  <c r="V46" i="12"/>
  <c r="L41" i="12"/>
  <c r="O41" i="12"/>
  <c r="M41" i="12"/>
  <c r="AA41" i="12"/>
  <c r="Y41" i="12"/>
  <c r="X41" i="12"/>
  <c r="V41" i="12"/>
  <c r="U41" i="12"/>
  <c r="S41" i="12"/>
  <c r="AA36" i="12"/>
  <c r="Y36" i="12"/>
  <c r="X36" i="12"/>
  <c r="V36" i="12"/>
  <c r="J32" i="12"/>
  <c r="AA33" i="12"/>
  <c r="AA32" i="12" s="1"/>
  <c r="Y32" i="12"/>
  <c r="X32" i="12"/>
  <c r="V32" i="12"/>
  <c r="V33" i="12"/>
  <c r="M11" i="12"/>
  <c r="H11" i="12"/>
  <c r="E11" i="12"/>
  <c r="U59" i="12" l="1"/>
  <c r="U58" i="12"/>
  <c r="U57" i="12"/>
  <c r="U56" i="12"/>
  <c r="U55" i="12"/>
  <c r="U54" i="12"/>
  <c r="U53" i="12"/>
  <c r="U51" i="12"/>
  <c r="U49" i="12"/>
  <c r="U48" i="12"/>
  <c r="U47" i="12"/>
  <c r="U46" i="12"/>
  <c r="U44" i="12"/>
  <c r="U43" i="12"/>
  <c r="U42" i="12"/>
  <c r="U38" i="12"/>
  <c r="U37" i="12"/>
  <c r="U36" i="12"/>
  <c r="U34" i="12"/>
  <c r="U33" i="12"/>
  <c r="U32" i="12"/>
  <c r="U29" i="12"/>
  <c r="U25" i="12"/>
  <c r="U24" i="12"/>
  <c r="U23" i="12"/>
  <c r="U22" i="12"/>
  <c r="U21" i="12"/>
  <c r="U20" i="12"/>
  <c r="U19" i="12"/>
  <c r="U18" i="12"/>
  <c r="U17" i="12"/>
  <c r="U16" i="12"/>
  <c r="S60" i="12"/>
  <c r="S58" i="12"/>
  <c r="S57" i="12"/>
  <c r="S56" i="12"/>
  <c r="S55" i="12"/>
  <c r="S54" i="12"/>
  <c r="S51" i="12"/>
  <c r="S49" i="12"/>
  <c r="S48" i="12"/>
  <c r="S47" i="12"/>
  <c r="S46" i="12"/>
  <c r="S43" i="12"/>
  <c r="S42" i="12"/>
  <c r="S34" i="12"/>
  <c r="S37" i="12"/>
  <c r="S33" i="12"/>
  <c r="S32" i="12"/>
  <c r="S28" i="12"/>
  <c r="S30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R55" i="10"/>
  <c r="T101" i="10" s="1"/>
  <c r="AP50" i="10"/>
  <c r="AP55" i="10"/>
  <c r="AP60" i="10"/>
  <c r="AP94" i="10"/>
  <c r="AP86" i="10"/>
  <c r="AP67" i="10"/>
  <c r="AP74" i="10"/>
  <c r="AP72" i="10"/>
  <c r="AP70" i="10"/>
  <c r="AP62" i="10"/>
  <c r="AP57" i="10"/>
  <c r="AP52" i="10"/>
  <c r="AP43" i="10"/>
  <c r="AP45" i="10"/>
  <c r="AP16" i="10"/>
  <c r="AP18" i="10"/>
  <c r="AP20" i="10"/>
  <c r="AP22" i="10"/>
  <c r="AP24" i="10"/>
  <c r="AP26" i="10"/>
  <c r="AP30" i="10"/>
  <c r="AP32" i="10"/>
  <c r="AP34" i="10"/>
  <c r="AP36" i="10"/>
  <c r="AP38" i="10"/>
  <c r="AP40" i="10"/>
  <c r="AP14" i="10"/>
  <c r="AP12" i="10" s="1"/>
  <c r="AO12" i="10"/>
  <c r="AM12" i="10"/>
  <c r="AN12" i="10"/>
  <c r="AK12" i="10"/>
  <c r="AL12" i="10"/>
  <c r="AI12" i="10"/>
  <c r="AJ12" i="10"/>
  <c r="AH12" i="10"/>
  <c r="AO43" i="10"/>
  <c r="AO50" i="10"/>
  <c r="AO55" i="10"/>
  <c r="AO60" i="10"/>
  <c r="AO67" i="10"/>
  <c r="AO81" i="10"/>
  <c r="AM81" i="10"/>
  <c r="AN81" i="10"/>
  <c r="AL81" i="10"/>
  <c r="AK81" i="10"/>
  <c r="AI81" i="10"/>
  <c r="AJ81" i="10"/>
  <c r="AH81" i="10"/>
  <c r="AH97" i="10" l="1"/>
  <c r="AP81" i="10"/>
  <c r="Z79" i="10"/>
  <c r="X79" i="10"/>
  <c r="AC77" i="10"/>
  <c r="AD77" i="10"/>
  <c r="W77" i="10"/>
  <c r="X77" i="10"/>
  <c r="Y77" i="10"/>
  <c r="Z77" i="10"/>
  <c r="AA77" i="10"/>
  <c r="AB77" i="10"/>
  <c r="AC81" i="10"/>
  <c r="AD81" i="10"/>
  <c r="AA75" i="10"/>
  <c r="AB75" i="10"/>
  <c r="AC75" i="10"/>
  <c r="AD75" i="10"/>
  <c r="AE67" i="10"/>
  <c r="AD67" i="10"/>
  <c r="AB67" i="10"/>
  <c r="AC48" i="10"/>
  <c r="AD48" i="10"/>
  <c r="AC58" i="10"/>
  <c r="AD58" i="10"/>
  <c r="AC55" i="10"/>
  <c r="AD55" i="10"/>
  <c r="AD65" i="10"/>
  <c r="AC65" i="10"/>
  <c r="AD60" i="10"/>
  <c r="AC50" i="10"/>
  <c r="AD50" i="10"/>
  <c r="AC12" i="10"/>
  <c r="AD12" i="10"/>
  <c r="AD43" i="10"/>
  <c r="AC43" i="10"/>
  <c r="U15" i="12" l="1"/>
  <c r="U14" i="12"/>
  <c r="U13" i="12"/>
  <c r="U12" i="12"/>
  <c r="S13" i="12"/>
  <c r="S12" i="12"/>
  <c r="S11" i="12" s="1"/>
  <c r="AT66" i="12"/>
  <c r="AS66" i="12"/>
  <c r="AJ66" i="12"/>
  <c r="AI66" i="12"/>
  <c r="AH66" i="12"/>
  <c r="AG66" i="12"/>
  <c r="V59" i="12"/>
  <c r="V66" i="12" s="1"/>
  <c r="V58" i="12"/>
  <c r="X57" i="12"/>
  <c r="AA57" i="12" s="1"/>
  <c r="V57" i="12"/>
  <c r="E57" i="12"/>
  <c r="X56" i="12"/>
  <c r="AA56" i="12" s="1"/>
  <c r="V56" i="12"/>
  <c r="F56" i="12"/>
  <c r="F58" i="12" s="1"/>
  <c r="F59" i="12" s="1"/>
  <c r="X55" i="12"/>
  <c r="AA55" i="12" s="1"/>
  <c r="V55" i="12"/>
  <c r="V54" i="12"/>
  <c r="Y54" i="12" s="1"/>
  <c r="E54" i="12"/>
  <c r="M53" i="12"/>
  <c r="M60" i="12" s="1"/>
  <c r="L53" i="12"/>
  <c r="J53" i="12"/>
  <c r="H53" i="12"/>
  <c r="G53" i="12"/>
  <c r="X49" i="12"/>
  <c r="V49" i="12"/>
  <c r="G49" i="12"/>
  <c r="G46" i="12" s="1"/>
  <c r="E49" i="12"/>
  <c r="V48" i="12"/>
  <c r="E48" i="12"/>
  <c r="V47" i="12"/>
  <c r="E47" i="12"/>
  <c r="O46" i="12"/>
  <c r="M46" i="12"/>
  <c r="M51" i="12" s="1"/>
  <c r="L46" i="12"/>
  <c r="J46" i="12"/>
  <c r="H46" i="12"/>
  <c r="O44" i="12"/>
  <c r="V43" i="12"/>
  <c r="Y43" i="12" s="1"/>
  <c r="V42" i="12"/>
  <c r="E42" i="12"/>
  <c r="E40" i="12" s="1"/>
  <c r="J41" i="12"/>
  <c r="H40" i="12"/>
  <c r="G40" i="12"/>
  <c r="V37" i="12"/>
  <c r="I36" i="12"/>
  <c r="E37" i="12"/>
  <c r="E36" i="12" s="1"/>
  <c r="O36" i="12"/>
  <c r="M36" i="12"/>
  <c r="S36" i="12" s="1"/>
  <c r="L36" i="12"/>
  <c r="J36" i="12"/>
  <c r="H36" i="12"/>
  <c r="G36" i="12"/>
  <c r="I32" i="12"/>
  <c r="E33" i="12"/>
  <c r="E32" i="12" s="1"/>
  <c r="O32" i="12"/>
  <c r="L32" i="12"/>
  <c r="H32" i="12"/>
  <c r="G32" i="12"/>
  <c r="H28" i="12"/>
  <c r="E29" i="12"/>
  <c r="E28" i="12" s="1"/>
  <c r="O28" i="12"/>
  <c r="U28" i="12" s="1"/>
  <c r="M28" i="12"/>
  <c r="M30" i="12" s="1"/>
  <c r="L28" i="12"/>
  <c r="J28" i="12"/>
  <c r="G28" i="12"/>
  <c r="V25" i="12"/>
  <c r="E25" i="12"/>
  <c r="V24" i="12"/>
  <c r="E24" i="12"/>
  <c r="AG23" i="12"/>
  <c r="E23" i="12"/>
  <c r="V22" i="12"/>
  <c r="E22" i="12"/>
  <c r="V21" i="12"/>
  <c r="E21" i="12"/>
  <c r="V20" i="12"/>
  <c r="E20" i="12"/>
  <c r="V19" i="12"/>
  <c r="E19" i="12"/>
  <c r="V18" i="12"/>
  <c r="E18" i="12"/>
  <c r="V17" i="12"/>
  <c r="E17" i="12"/>
  <c r="V16" i="12"/>
  <c r="E16" i="12"/>
  <c r="V15" i="12"/>
  <c r="E15" i="12"/>
  <c r="V14" i="12"/>
  <c r="E14" i="12"/>
  <c r="AE13" i="12"/>
  <c r="E12" i="12"/>
  <c r="L11" i="12"/>
  <c r="J11" i="12"/>
  <c r="G11" i="12"/>
  <c r="L62" i="12" l="1"/>
  <c r="O62" i="12"/>
  <c r="U11" i="12"/>
  <c r="M26" i="12"/>
  <c r="X21" i="12"/>
  <c r="AA21" i="12" s="1"/>
  <c r="E53" i="12"/>
  <c r="Y37" i="12"/>
  <c r="Y38" i="12" s="1"/>
  <c r="Y66" i="12" s="1"/>
  <c r="X23" i="12"/>
  <c r="AA23" i="12" s="1"/>
  <c r="Y24" i="12"/>
  <c r="Y25" i="12"/>
  <c r="X42" i="12"/>
  <c r="AA42" i="12" s="1"/>
  <c r="AA44" i="12" s="1"/>
  <c r="O26" i="12"/>
  <c r="U26" i="12" s="1"/>
  <c r="Y16" i="12"/>
  <c r="Y17" i="12"/>
  <c r="Y18" i="12"/>
  <c r="X33" i="12"/>
  <c r="AA34" i="12" s="1"/>
  <c r="I40" i="12"/>
  <c r="Y57" i="12"/>
  <c r="Y60" i="12" s="1"/>
  <c r="V12" i="12"/>
  <c r="X16" i="12"/>
  <c r="AA16" i="12" s="1"/>
  <c r="O30" i="12"/>
  <c r="U30" i="12" s="1"/>
  <c r="Y42" i="12"/>
  <c r="Y44" i="12" s="1"/>
  <c r="AA49" i="12"/>
  <c r="X17" i="12"/>
  <c r="AA17" i="12" s="1"/>
  <c r="I46" i="12"/>
  <c r="E46" i="12"/>
  <c r="Y22" i="12"/>
  <c r="X20" i="12"/>
  <c r="AA20" i="12" s="1"/>
  <c r="Y21" i="12"/>
  <c r="Y20" i="12"/>
  <c r="X13" i="12"/>
  <c r="AA13" i="12" s="1"/>
  <c r="Y14" i="12"/>
  <c r="X18" i="12"/>
  <c r="AA18" i="12" s="1"/>
  <c r="X22" i="12"/>
  <c r="AA22" i="12" s="1"/>
  <c r="X29" i="12"/>
  <c r="X43" i="12"/>
  <c r="AA43" i="12" s="1"/>
  <c r="X48" i="12"/>
  <c r="AA48" i="12" s="1"/>
  <c r="X12" i="12"/>
  <c r="V13" i="12"/>
  <c r="Y13" i="12" s="1"/>
  <c r="X14" i="12"/>
  <c r="AA14" i="12" s="1"/>
  <c r="X15" i="12"/>
  <c r="AA15" i="12" s="1"/>
  <c r="X19" i="12"/>
  <c r="AA19" i="12" s="1"/>
  <c r="V23" i="12"/>
  <c r="Y23" i="12" s="1"/>
  <c r="X24" i="12"/>
  <c r="AA24" i="12" s="1"/>
  <c r="X25" i="12"/>
  <c r="AA25" i="12" s="1"/>
  <c r="V29" i="12"/>
  <c r="Y33" i="12"/>
  <c r="Y34" i="12" s="1"/>
  <c r="X47" i="12"/>
  <c r="Y48" i="12"/>
  <c r="Y49" i="12"/>
  <c r="I53" i="12"/>
  <c r="X58" i="12"/>
  <c r="AA58" i="12" s="1"/>
  <c r="Y15" i="12"/>
  <c r="Y19" i="12"/>
  <c r="M34" i="12"/>
  <c r="M38" i="12"/>
  <c r="S38" i="12" s="1"/>
  <c r="X59" i="12"/>
  <c r="AA59" i="12" s="1"/>
  <c r="I11" i="12"/>
  <c r="I28" i="12"/>
  <c r="O34" i="12"/>
  <c r="X37" i="12"/>
  <c r="AA37" i="12" s="1"/>
  <c r="AA38" i="12" s="1"/>
  <c r="O38" i="12"/>
  <c r="U66" i="12" s="1"/>
  <c r="M44" i="12"/>
  <c r="S44" i="12" s="1"/>
  <c r="O51" i="12"/>
  <c r="X54" i="12"/>
  <c r="AA54" i="12" s="1"/>
  <c r="O60" i="12"/>
  <c r="U60" i="12" s="1"/>
  <c r="U12" i="7"/>
  <c r="Y29" i="12" l="1"/>
  <c r="V28" i="12"/>
  <c r="AA29" i="12"/>
  <c r="X28" i="12"/>
  <c r="AA12" i="12"/>
  <c r="AA11" i="12" s="1"/>
  <c r="X11" i="12"/>
  <c r="Y12" i="12"/>
  <c r="Y11" i="12" s="1"/>
  <c r="V11" i="12"/>
  <c r="AA51" i="12"/>
  <c r="Y51" i="12"/>
  <c r="Y26" i="12"/>
  <c r="Y63" i="12" s="1"/>
  <c r="X66" i="12"/>
  <c r="AA60" i="12"/>
  <c r="U62" i="12"/>
  <c r="U63" i="12" s="1"/>
  <c r="AA66" i="12"/>
  <c r="M63" i="12"/>
  <c r="S63" i="12" s="1"/>
  <c r="O63" i="12"/>
  <c r="M36" i="7"/>
  <c r="Y30" i="12" l="1"/>
  <c r="Y28" i="12"/>
  <c r="AA26" i="12"/>
  <c r="AA63" i="12" s="1"/>
  <c r="AA30" i="12"/>
  <c r="AA28" i="12"/>
  <c r="AN85" i="10"/>
  <c r="AN71" i="10"/>
  <c r="AN15" i="10"/>
  <c r="AN17" i="10"/>
  <c r="AN19" i="10"/>
  <c r="AN21" i="10"/>
  <c r="AN23" i="10"/>
  <c r="AN25" i="10"/>
  <c r="AN29" i="10"/>
  <c r="AN31" i="10"/>
  <c r="AN33" i="10"/>
  <c r="AN35" i="10"/>
  <c r="AN37" i="10"/>
  <c r="AL15" i="10"/>
  <c r="AL17" i="10"/>
  <c r="AL19" i="10"/>
  <c r="AL21" i="10"/>
  <c r="AL23" i="10"/>
  <c r="AL25" i="10"/>
  <c r="AL27" i="10"/>
  <c r="AL29" i="10"/>
  <c r="AL31" i="10"/>
  <c r="AL33" i="10"/>
  <c r="AL35" i="10"/>
  <c r="AL37" i="10"/>
  <c r="AJ85" i="10"/>
  <c r="AJ87" i="10"/>
  <c r="AJ89" i="10"/>
  <c r="AJ37" i="10"/>
  <c r="AJ15" i="10"/>
  <c r="AJ17" i="10"/>
  <c r="AJ19" i="10"/>
  <c r="AJ21" i="10"/>
  <c r="AJ23" i="10"/>
  <c r="AJ25" i="10"/>
  <c r="AJ27" i="10"/>
  <c r="AJ29" i="10"/>
  <c r="AJ31" i="10"/>
  <c r="AJ33" i="10"/>
  <c r="AJ35" i="10"/>
  <c r="AH85" i="10"/>
  <c r="AH87" i="10"/>
  <c r="AH71" i="10"/>
  <c r="AH73" i="10"/>
  <c r="AH63" i="10"/>
  <c r="AH15" i="10"/>
  <c r="AH17" i="10"/>
  <c r="AH19" i="10"/>
  <c r="AH21" i="10"/>
  <c r="AH23" i="10"/>
  <c r="AH25" i="10"/>
  <c r="AH27" i="10"/>
  <c r="AH29" i="10"/>
  <c r="AH31" i="10"/>
  <c r="AH33" i="10"/>
  <c r="AH35" i="10"/>
  <c r="AH37" i="10"/>
  <c r="AN69" i="10"/>
  <c r="AN61" i="10"/>
  <c r="AN56" i="10"/>
  <c r="AN51" i="10"/>
  <c r="AN44" i="10"/>
  <c r="AN13" i="10"/>
  <c r="AL85" i="10"/>
  <c r="AL69" i="10"/>
  <c r="AL61" i="10"/>
  <c r="AL56" i="10"/>
  <c r="AL51" i="10"/>
  <c r="AL44" i="10"/>
  <c r="AL13" i="10"/>
  <c r="AJ83" i="10"/>
  <c r="AJ69" i="10"/>
  <c r="AJ61" i="10"/>
  <c r="AJ56" i="10"/>
  <c r="AJ51" i="10"/>
  <c r="AJ44" i="10"/>
  <c r="AJ13" i="10"/>
  <c r="AH83" i="10"/>
  <c r="AH69" i="10"/>
  <c r="AH61" i="10"/>
  <c r="AH56" i="10"/>
  <c r="AH51" i="10"/>
  <c r="AH44" i="10"/>
  <c r="AB12" i="10" l="1"/>
  <c r="AB43" i="10"/>
  <c r="AB50" i="10"/>
  <c r="AB55" i="10"/>
  <c r="AB58" i="10" s="1"/>
  <c r="AB60" i="10"/>
  <c r="AB81" i="10"/>
  <c r="Z67" i="10"/>
  <c r="Z55" i="10"/>
  <c r="Z50" i="10"/>
  <c r="Z43" i="10"/>
  <c r="Z12" i="10"/>
  <c r="Z71" i="10"/>
  <c r="AL71" i="10" s="1"/>
  <c r="T12" i="10"/>
  <c r="X81" i="10"/>
  <c r="X55" i="10"/>
  <c r="X50" i="10"/>
  <c r="X43" i="10"/>
  <c r="T77" i="10"/>
  <c r="AF79" i="10"/>
  <c r="AE79" i="10"/>
  <c r="W79" i="10"/>
  <c r="U79" i="10"/>
  <c r="V77" i="10"/>
  <c r="V79" i="10" s="1"/>
  <c r="T55" i="10"/>
  <c r="V81" i="10"/>
  <c r="V67" i="10"/>
  <c r="V60" i="10"/>
  <c r="V55" i="10"/>
  <c r="V50" i="10"/>
  <c r="V43" i="10"/>
  <c r="V12" i="10"/>
  <c r="AB41" i="10" l="1"/>
  <c r="AG79" i="10"/>
  <c r="AH79" i="10"/>
  <c r="P81" i="10"/>
  <c r="Q81" i="10"/>
  <c r="R81" i="10"/>
  <c r="K81" i="10"/>
  <c r="L81" i="10"/>
  <c r="M81" i="10"/>
  <c r="N81" i="10"/>
  <c r="O81" i="10"/>
  <c r="H81" i="10"/>
  <c r="I81" i="10"/>
  <c r="J81" i="10"/>
  <c r="R67" i="10"/>
  <c r="Q67" i="10"/>
  <c r="J67" i="10"/>
  <c r="P67" i="10"/>
  <c r="K67" i="10"/>
  <c r="L67" i="10"/>
  <c r="M67" i="10"/>
  <c r="O67" i="10"/>
  <c r="S60" i="10"/>
  <c r="T60" i="10"/>
  <c r="AB65" i="10" s="1"/>
  <c r="O60" i="10"/>
  <c r="P60" i="10"/>
  <c r="Q60" i="10"/>
  <c r="R60" i="10"/>
  <c r="K60" i="10"/>
  <c r="L60" i="10"/>
  <c r="M60" i="10"/>
  <c r="N60" i="10"/>
  <c r="J60" i="10"/>
  <c r="S43" i="10"/>
  <c r="Q43" i="10"/>
  <c r="T43" i="10"/>
  <c r="AB48" i="10" s="1"/>
  <c r="R43" i="10"/>
  <c r="N43" i="10"/>
  <c r="O43" i="10"/>
  <c r="P43" i="10"/>
  <c r="K43" i="10"/>
  <c r="L43" i="10"/>
  <c r="M43" i="10"/>
  <c r="J43" i="10"/>
  <c r="R50" i="10"/>
  <c r="S50" i="10"/>
  <c r="T50" i="10"/>
  <c r="AB53" i="10" s="1"/>
  <c r="Q50" i="10"/>
  <c r="N50" i="10"/>
  <c r="O50" i="10"/>
  <c r="P50" i="10"/>
  <c r="K50" i="10"/>
  <c r="L50" i="10"/>
  <c r="M50" i="10"/>
  <c r="J50" i="10"/>
  <c r="H67" i="10"/>
  <c r="H50" i="10"/>
  <c r="R12" i="10"/>
  <c r="Q12" i="10"/>
  <c r="N12" i="10"/>
  <c r="P12" i="10"/>
  <c r="J12" i="10" l="1"/>
  <c r="AH13" i="10"/>
  <c r="AG13" i="10"/>
  <c r="AG12" i="10"/>
  <c r="H2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14" i="10"/>
  <c r="H24" i="10" l="1"/>
  <c r="H23" i="10"/>
  <c r="H22" i="10"/>
  <c r="H20" i="10"/>
  <c r="H19" i="10"/>
  <c r="H18" i="10"/>
  <c r="H17" i="10"/>
  <c r="H16" i="10"/>
  <c r="H15" i="10"/>
  <c r="H13" i="10"/>
  <c r="H12" i="10" s="1"/>
  <c r="E57" i="7" l="1"/>
  <c r="E54" i="7"/>
  <c r="R11" i="7" l="1"/>
  <c r="R32" i="7"/>
  <c r="R36" i="7"/>
  <c r="R53" i="7"/>
  <c r="R46" i="7"/>
  <c r="E49" i="7"/>
  <c r="E48" i="7"/>
  <c r="E47" i="7"/>
  <c r="E42" i="7"/>
  <c r="E37" i="7"/>
  <c r="E33" i="7"/>
  <c r="E29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R40" i="7"/>
  <c r="J41" i="7"/>
  <c r="T37" i="7" l="1"/>
  <c r="T13" i="7" l="1"/>
  <c r="T14" i="7"/>
  <c r="T15" i="7"/>
  <c r="T16" i="7"/>
  <c r="T17" i="7"/>
  <c r="T18" i="7"/>
  <c r="AC13" i="7" l="1"/>
  <c r="AH98" i="10"/>
  <c r="AR95" i="10"/>
  <c r="AQ95" i="10"/>
  <c r="AF81" i="10"/>
  <c r="AE81" i="10"/>
  <c r="AE95" i="10" s="1"/>
  <c r="Z81" i="10"/>
  <c r="Y81" i="10"/>
  <c r="Y95" i="10" s="1"/>
  <c r="W95" i="10"/>
  <c r="U95" i="10"/>
  <c r="T81" i="10"/>
  <c r="AB95" i="10" s="1"/>
  <c r="AB98" i="10" s="1"/>
  <c r="S81" i="10"/>
  <c r="F81" i="10"/>
  <c r="AR75" i="10"/>
  <c r="AR79" i="10" s="1"/>
  <c r="AQ75" i="10"/>
  <c r="AQ79" i="10" s="1"/>
  <c r="AH67" i="10"/>
  <c r="AF67" i="10"/>
  <c r="AE75" i="10"/>
  <c r="Y75" i="10"/>
  <c r="X67" i="10"/>
  <c r="T67" i="10"/>
  <c r="S67" i="10"/>
  <c r="N67" i="10"/>
  <c r="I67" i="10"/>
  <c r="F67" i="10"/>
  <c r="AR65" i="10"/>
  <c r="AQ65" i="10"/>
  <c r="AH60" i="10"/>
  <c r="AG60" i="10"/>
  <c r="AF60" i="10"/>
  <c r="AE60" i="10"/>
  <c r="AE65" i="10" s="1"/>
  <c r="Z60" i="10"/>
  <c r="Y65" i="10"/>
  <c r="X60" i="10"/>
  <c r="W65" i="10"/>
  <c r="U65" i="10"/>
  <c r="I60" i="10"/>
  <c r="F60" i="10"/>
  <c r="AR58" i="10"/>
  <c r="AQ58" i="10"/>
  <c r="AF58" i="10"/>
  <c r="AE58" i="10"/>
  <c r="Z58" i="10"/>
  <c r="Y58" i="10"/>
  <c r="X58" i="10"/>
  <c r="W58" i="10"/>
  <c r="V58" i="10"/>
  <c r="U58" i="10"/>
  <c r="F55" i="10"/>
  <c r="AR53" i="10"/>
  <c r="AQ53" i="10"/>
  <c r="AF53" i="10"/>
  <c r="AE53" i="10"/>
  <c r="Z53" i="10"/>
  <c r="X53" i="10"/>
  <c r="W53" i="10"/>
  <c r="V53" i="10"/>
  <c r="U53" i="10"/>
  <c r="AR48" i="10"/>
  <c r="AQ48" i="10"/>
  <c r="AF48" i="10"/>
  <c r="AE48" i="10"/>
  <c r="Z48" i="10"/>
  <c r="Y48" i="10"/>
  <c r="X48" i="10"/>
  <c r="W48" i="10"/>
  <c r="V48" i="10"/>
  <c r="U48" i="10"/>
  <c r="F43" i="10"/>
  <c r="AR41" i="10"/>
  <c r="AQ41" i="10"/>
  <c r="AF41" i="10"/>
  <c r="AE41" i="10"/>
  <c r="Z41" i="10"/>
  <c r="Y41" i="10"/>
  <c r="W41" i="10"/>
  <c r="V41" i="10"/>
  <c r="U41" i="10"/>
  <c r="L12" i="10"/>
  <c r="F12" i="10"/>
  <c r="S32" i="7"/>
  <c r="O32" i="7"/>
  <c r="AE23" i="7"/>
  <c r="AH48" i="10" l="1"/>
  <c r="Z75" i="10"/>
  <c r="H55" i="10"/>
  <c r="H43" i="10"/>
  <c r="AH53" i="10"/>
  <c r="AG41" i="10"/>
  <c r="AG65" i="10"/>
  <c r="V95" i="10"/>
  <c r="Z95" i="10"/>
  <c r="AG53" i="10"/>
  <c r="AF65" i="10"/>
  <c r="X75" i="10"/>
  <c r="AG75" i="10"/>
  <c r="W98" i="10"/>
  <c r="AE98" i="10"/>
  <c r="X65" i="10"/>
  <c r="AF75" i="10"/>
  <c r="AG58" i="10"/>
  <c r="V65" i="10"/>
  <c r="Z65" i="10"/>
  <c r="X95" i="10"/>
  <c r="AF95" i="10"/>
  <c r="AQ98" i="10"/>
  <c r="AG48" i="10"/>
  <c r="AH58" i="10"/>
  <c r="H60" i="10"/>
  <c r="AR98" i="10"/>
  <c r="AG95" i="10"/>
  <c r="Y98" i="10"/>
  <c r="AG67" i="10"/>
  <c r="AG81" i="10"/>
  <c r="V75" i="10"/>
  <c r="K11" i="7"/>
  <c r="AE66" i="7"/>
  <c r="Z98" i="10" l="1"/>
  <c r="V98" i="10"/>
  <c r="AG98" i="10"/>
  <c r="AF98" i="10"/>
  <c r="AH95" i="10"/>
  <c r="U98" i="10"/>
  <c r="AH75" i="10"/>
  <c r="AH65" i="10"/>
  <c r="U48" i="7"/>
  <c r="U49" i="7" l="1"/>
  <c r="G49" i="7" l="1"/>
  <c r="Q43" i="7" l="1"/>
  <c r="Q33" i="7" l="1"/>
  <c r="Q32" i="7" s="1"/>
  <c r="M32" i="7"/>
  <c r="U32" i="7" s="1"/>
  <c r="Q11" i="7"/>
  <c r="V59" i="7"/>
  <c r="U59" i="7"/>
  <c r="U58" i="7"/>
  <c r="W58" i="7" s="1"/>
  <c r="Y58" i="7" s="1"/>
  <c r="T58" i="7"/>
  <c r="V58" i="7" s="1"/>
  <c r="U57" i="7"/>
  <c r="T57" i="7"/>
  <c r="V57" i="7" s="1"/>
  <c r="X57" i="7" s="1"/>
  <c r="U56" i="7"/>
  <c r="T56" i="7"/>
  <c r="V56" i="7" s="1"/>
  <c r="F56" i="7"/>
  <c r="F58" i="7" s="1"/>
  <c r="F59" i="7" s="1"/>
  <c r="U55" i="7"/>
  <c r="W55" i="7" s="1"/>
  <c r="Y55" i="7" s="1"/>
  <c r="T55" i="7"/>
  <c r="V55" i="7" s="1"/>
  <c r="U54" i="7"/>
  <c r="W54" i="7" s="1"/>
  <c r="Y54" i="7" s="1"/>
  <c r="T54" i="7"/>
  <c r="V54" i="7" s="1"/>
  <c r="X54" i="7" s="1"/>
  <c r="S53" i="7"/>
  <c r="R60" i="7"/>
  <c r="Q53" i="7"/>
  <c r="P53" i="7"/>
  <c r="P60" i="7" s="1"/>
  <c r="O53" i="7"/>
  <c r="N53" i="7"/>
  <c r="N60" i="7" s="1"/>
  <c r="M53" i="7"/>
  <c r="L53" i="7"/>
  <c r="K53" i="7"/>
  <c r="J53" i="7"/>
  <c r="I53" i="7"/>
  <c r="H53" i="7"/>
  <c r="G53" i="7"/>
  <c r="E53" i="7"/>
  <c r="T49" i="7"/>
  <c r="V49" i="7" s="1"/>
  <c r="X49" i="7" s="1"/>
  <c r="W48" i="7"/>
  <c r="T48" i="7"/>
  <c r="V48" i="7" s="1"/>
  <c r="X48" i="7" s="1"/>
  <c r="U47" i="7"/>
  <c r="W47" i="7" s="1"/>
  <c r="T47" i="7"/>
  <c r="V47" i="7" s="1"/>
  <c r="S46" i="7"/>
  <c r="R51" i="7"/>
  <c r="P46" i="7"/>
  <c r="P51" i="7" s="1"/>
  <c r="O46" i="7"/>
  <c r="N46" i="7"/>
  <c r="N51" i="7" s="1"/>
  <c r="M46" i="7"/>
  <c r="W49" i="7" s="1"/>
  <c r="L46" i="7"/>
  <c r="K46" i="7"/>
  <c r="J46" i="7"/>
  <c r="I46" i="7"/>
  <c r="H46" i="7"/>
  <c r="E46" i="7"/>
  <c r="S44" i="7"/>
  <c r="Q44" i="7"/>
  <c r="O44" i="7"/>
  <c r="M44" i="7"/>
  <c r="U43" i="7"/>
  <c r="W43" i="7" s="1"/>
  <c r="Y43" i="7" s="1"/>
  <c r="T43" i="7"/>
  <c r="V43" i="7" s="1"/>
  <c r="X43" i="7" s="1"/>
  <c r="U42" i="7"/>
  <c r="W42" i="7" s="1"/>
  <c r="Y42" i="7" s="1"/>
  <c r="T42" i="7"/>
  <c r="V42" i="7" s="1"/>
  <c r="X42" i="7" s="1"/>
  <c r="S40" i="7"/>
  <c r="R44" i="7"/>
  <c r="Q40" i="7"/>
  <c r="P40" i="7"/>
  <c r="P44" i="7" s="1"/>
  <c r="O40" i="7"/>
  <c r="N40" i="7"/>
  <c r="N44" i="7" s="1"/>
  <c r="M40" i="7"/>
  <c r="L40" i="7"/>
  <c r="K40" i="7"/>
  <c r="J40" i="7"/>
  <c r="I40" i="7"/>
  <c r="H40" i="7"/>
  <c r="G40" i="7"/>
  <c r="E40" i="7"/>
  <c r="U37" i="7"/>
  <c r="W37" i="7" s="1"/>
  <c r="Y37" i="7" s="1"/>
  <c r="Y38" i="7" s="1"/>
  <c r="V37" i="7"/>
  <c r="X37" i="7" s="1"/>
  <c r="X38" i="7" s="1"/>
  <c r="S36" i="7"/>
  <c r="R38" i="7"/>
  <c r="Q36" i="7"/>
  <c r="P36" i="7"/>
  <c r="P38" i="7" s="1"/>
  <c r="O36" i="7"/>
  <c r="N36" i="7"/>
  <c r="N38" i="7" s="1"/>
  <c r="L36" i="7"/>
  <c r="L38" i="7" s="1"/>
  <c r="K36" i="7"/>
  <c r="J36" i="7"/>
  <c r="I36" i="7"/>
  <c r="H36" i="7"/>
  <c r="G36" i="7"/>
  <c r="E36" i="7"/>
  <c r="U33" i="7"/>
  <c r="W33" i="7" s="1"/>
  <c r="Y33" i="7" s="1"/>
  <c r="Y34" i="7" s="1"/>
  <c r="T33" i="7"/>
  <c r="V33" i="7" s="1"/>
  <c r="X33" i="7" s="1"/>
  <c r="X34" i="7" s="1"/>
  <c r="R34" i="7"/>
  <c r="P32" i="7"/>
  <c r="P34" i="7" s="1"/>
  <c r="N32" i="7"/>
  <c r="N34" i="7" s="1"/>
  <c r="L32" i="7"/>
  <c r="K32" i="7"/>
  <c r="J32" i="7"/>
  <c r="I32" i="7"/>
  <c r="H32" i="7"/>
  <c r="G32" i="7"/>
  <c r="E32" i="7"/>
  <c r="U29" i="7"/>
  <c r="W29" i="7" s="1"/>
  <c r="Y29" i="7" s="1"/>
  <c r="Y30" i="7" s="1"/>
  <c r="T29" i="7"/>
  <c r="V29" i="7" s="1"/>
  <c r="E28" i="7"/>
  <c r="S28" i="7"/>
  <c r="R28" i="7"/>
  <c r="R30" i="7" s="1"/>
  <c r="Q28" i="7"/>
  <c r="P28" i="7"/>
  <c r="P30" i="7" s="1"/>
  <c r="O28" i="7"/>
  <c r="N28" i="7"/>
  <c r="N30" i="7" s="1"/>
  <c r="M28" i="7"/>
  <c r="L28" i="7"/>
  <c r="K28" i="7"/>
  <c r="J28" i="7"/>
  <c r="I28" i="7"/>
  <c r="H28" i="7"/>
  <c r="G28" i="7"/>
  <c r="U25" i="7"/>
  <c r="W25" i="7" s="1"/>
  <c r="Y25" i="7" s="1"/>
  <c r="T25" i="7"/>
  <c r="V25" i="7" s="1"/>
  <c r="X25" i="7" s="1"/>
  <c r="U24" i="7"/>
  <c r="T24" i="7"/>
  <c r="V24" i="7" s="1"/>
  <c r="U23" i="7"/>
  <c r="W23" i="7" s="1"/>
  <c r="Y23" i="7" s="1"/>
  <c r="T23" i="7"/>
  <c r="V23" i="7" s="1"/>
  <c r="U22" i="7"/>
  <c r="W22" i="7" s="1"/>
  <c r="Y22" i="7" s="1"/>
  <c r="T22" i="7"/>
  <c r="V22" i="7" s="1"/>
  <c r="U21" i="7"/>
  <c r="W21" i="7" s="1"/>
  <c r="Y21" i="7" s="1"/>
  <c r="T21" i="7"/>
  <c r="V21" i="7" s="1"/>
  <c r="U20" i="7"/>
  <c r="W20" i="7" s="1"/>
  <c r="Y20" i="7" s="1"/>
  <c r="T20" i="7"/>
  <c r="V20" i="7" s="1"/>
  <c r="U19" i="7"/>
  <c r="W19" i="7" s="1"/>
  <c r="Y19" i="7" s="1"/>
  <c r="T19" i="7"/>
  <c r="V19" i="7" s="1"/>
  <c r="U18" i="7"/>
  <c r="W18" i="7" s="1"/>
  <c r="Y18" i="7" s="1"/>
  <c r="V18" i="7"/>
  <c r="U17" i="7"/>
  <c r="W17" i="7" s="1"/>
  <c r="Y17" i="7" s="1"/>
  <c r="V17" i="7"/>
  <c r="U16" i="7"/>
  <c r="W16" i="7" s="1"/>
  <c r="Y16" i="7" s="1"/>
  <c r="V16" i="7"/>
  <c r="U15" i="7"/>
  <c r="W15" i="7" s="1"/>
  <c r="Y15" i="7" s="1"/>
  <c r="V15" i="7"/>
  <c r="U14" i="7"/>
  <c r="W14" i="7" s="1"/>
  <c r="Y14" i="7" s="1"/>
  <c r="V14" i="7"/>
  <c r="U13" i="7"/>
  <c r="W13" i="7" s="1"/>
  <c r="Y13" i="7" s="1"/>
  <c r="V13" i="7"/>
  <c r="X13" i="7" s="1"/>
  <c r="W12" i="7"/>
  <c r="Y12" i="7" s="1"/>
  <c r="T12" i="7"/>
  <c r="V12" i="7" s="1"/>
  <c r="S11" i="7"/>
  <c r="R26" i="7"/>
  <c r="P11" i="7"/>
  <c r="P26" i="7" s="1"/>
  <c r="O11" i="7"/>
  <c r="N11" i="7"/>
  <c r="N26" i="7" s="1"/>
  <c r="M11" i="7"/>
  <c r="L11" i="7"/>
  <c r="J11" i="7"/>
  <c r="H11" i="7"/>
  <c r="G11" i="7"/>
  <c r="AR66" i="7"/>
  <c r="AQ66" i="7"/>
  <c r="AH66" i="7"/>
  <c r="AG66" i="7"/>
  <c r="AF66" i="7"/>
  <c r="R63" i="7" l="1"/>
  <c r="W59" i="7"/>
  <c r="W66" i="7" s="1"/>
  <c r="W56" i="7"/>
  <c r="Y56" i="7" s="1"/>
  <c r="W57" i="7"/>
  <c r="Y57" i="7" s="1"/>
  <c r="X66" i="7"/>
  <c r="V66" i="7"/>
  <c r="P63" i="7"/>
  <c r="K62" i="7"/>
  <c r="S63" i="7" s="1"/>
  <c r="Q46" i="7"/>
  <c r="G46" i="7"/>
  <c r="Y49" i="7"/>
  <c r="X22" i="7"/>
  <c r="M38" i="7"/>
  <c r="Y48" i="7"/>
  <c r="X24" i="7"/>
  <c r="M51" i="7"/>
  <c r="Q51" i="7"/>
  <c r="X17" i="7"/>
  <c r="X21" i="7"/>
  <c r="X29" i="7"/>
  <c r="X30" i="7" s="1"/>
  <c r="T11" i="7"/>
  <c r="T32" i="7"/>
  <c r="X44" i="7"/>
  <c r="U44" i="7"/>
  <c r="O51" i="7"/>
  <c r="S51" i="7"/>
  <c r="T53" i="7"/>
  <c r="X15" i="7"/>
  <c r="X19" i="7"/>
  <c r="X23" i="7"/>
  <c r="Q38" i="7"/>
  <c r="U40" i="7"/>
  <c r="T46" i="7"/>
  <c r="Y44" i="7"/>
  <c r="W24" i="7"/>
  <c r="Y24" i="7" s="1"/>
  <c r="Y26" i="7" s="1"/>
  <c r="I11" i="7"/>
  <c r="L26" i="7"/>
  <c r="L60" i="7"/>
  <c r="T60" i="7" s="1"/>
  <c r="X12" i="7"/>
  <c r="M34" i="7"/>
  <c r="Q34" i="7"/>
  <c r="O38" i="7"/>
  <c r="S38" i="7"/>
  <c r="M60" i="7"/>
  <c r="Q60" i="7"/>
  <c r="T28" i="7"/>
  <c r="L30" i="7"/>
  <c r="T30" i="7" s="1"/>
  <c r="L34" i="7"/>
  <c r="T34" i="7" s="1"/>
  <c r="T40" i="7"/>
  <c r="U46" i="7"/>
  <c r="O34" i="7"/>
  <c r="S34" i="7"/>
  <c r="O60" i="7"/>
  <c r="O30" i="7"/>
  <c r="S30" i="7"/>
  <c r="O26" i="7"/>
  <c r="S26" i="7"/>
  <c r="E11" i="7"/>
  <c r="X16" i="7"/>
  <c r="U28" i="7"/>
  <c r="N63" i="7"/>
  <c r="U11" i="7"/>
  <c r="X14" i="7"/>
  <c r="X20" i="7"/>
  <c r="M30" i="7"/>
  <c r="Q30" i="7"/>
  <c r="T38" i="7"/>
  <c r="Y59" i="7"/>
  <c r="M26" i="7"/>
  <c r="Q26" i="7"/>
  <c r="X18" i="7"/>
  <c r="X51" i="7"/>
  <c r="T36" i="7"/>
  <c r="L44" i="7"/>
  <c r="T44" i="7" s="1"/>
  <c r="U36" i="7"/>
  <c r="L51" i="7"/>
  <c r="T51" i="7" s="1"/>
  <c r="S60" i="7"/>
  <c r="U53" i="7"/>
  <c r="Q63" i="7" l="1"/>
  <c r="Y60" i="7"/>
  <c r="Y63" i="7" s="1"/>
  <c r="Y66" i="7"/>
  <c r="X60" i="7"/>
  <c r="U62" i="7"/>
  <c r="U63" i="7" s="1"/>
  <c r="U51" i="7"/>
  <c r="Y51" i="7"/>
  <c r="U38" i="7"/>
  <c r="U66" i="7" s="1"/>
  <c r="U26" i="7"/>
  <c r="O63" i="7"/>
  <c r="L63" i="7"/>
  <c r="T63" i="7" s="1"/>
  <c r="U34" i="7"/>
  <c r="U60" i="7"/>
  <c r="X26" i="7"/>
  <c r="U30" i="7"/>
  <c r="M63" i="7"/>
  <c r="X63" i="7" l="1"/>
  <c r="AH197" i="8"/>
  <c r="AR194" i="8"/>
  <c r="AQ194" i="8"/>
  <c r="H193" i="8"/>
  <c r="H192" i="8"/>
  <c r="H191" i="8"/>
  <c r="H190" i="8"/>
  <c r="H189" i="8"/>
  <c r="H186" i="8"/>
  <c r="AH183" i="8"/>
  <c r="AF183" i="8"/>
  <c r="AE183" i="8"/>
  <c r="AE194" i="8" s="1"/>
  <c r="Z183" i="8"/>
  <c r="Y183" i="8"/>
  <c r="Y194" i="8" s="1"/>
  <c r="X183" i="8"/>
  <c r="W183" i="8"/>
  <c r="W194" i="8" s="1"/>
  <c r="V183" i="8"/>
  <c r="U183" i="8"/>
  <c r="U194" i="8" s="1"/>
  <c r="T183" i="8"/>
  <c r="S183" i="8"/>
  <c r="N183" i="8"/>
  <c r="I183" i="8"/>
  <c r="F183" i="8"/>
  <c r="AR181" i="8"/>
  <c r="AQ181" i="8"/>
  <c r="H180" i="8"/>
  <c r="H179" i="8"/>
  <c r="H178" i="8"/>
  <c r="H176" i="8"/>
  <c r="H175" i="8"/>
  <c r="H174" i="8"/>
  <c r="H173" i="8"/>
  <c r="H171" i="8"/>
  <c r="H169" i="8" s="1"/>
  <c r="AH169" i="8"/>
  <c r="AF169" i="8"/>
  <c r="AE169" i="8"/>
  <c r="AE181" i="8" s="1"/>
  <c r="Z169" i="8"/>
  <c r="Y169" i="8"/>
  <c r="Y181" i="8" s="1"/>
  <c r="X169" i="8"/>
  <c r="W169" i="8"/>
  <c r="W181" i="8" s="1"/>
  <c r="V169" i="8"/>
  <c r="V181" i="8" s="1"/>
  <c r="U169" i="8"/>
  <c r="U181" i="8" s="1"/>
  <c r="T169" i="8"/>
  <c r="S169" i="8"/>
  <c r="N169" i="8"/>
  <c r="I169" i="8"/>
  <c r="F169" i="8"/>
  <c r="AR167" i="8"/>
  <c r="AQ167" i="8"/>
  <c r="AH167" i="8"/>
  <c r="AG167" i="8"/>
  <c r="H166" i="8"/>
  <c r="AH165" i="8"/>
  <c r="AF165" i="8"/>
  <c r="Z165" i="8"/>
  <c r="X165" i="8"/>
  <c r="V165" i="8"/>
  <c r="T165" i="8"/>
  <c r="N165" i="8"/>
  <c r="I165" i="8"/>
  <c r="H165" i="8"/>
  <c r="F165" i="8"/>
  <c r="AR163" i="8"/>
  <c r="AQ163" i="8"/>
  <c r="AF163" i="8"/>
  <c r="AE163" i="8"/>
  <c r="Z163" i="8"/>
  <c r="Y163" i="8"/>
  <c r="H160" i="8"/>
  <c r="H159" i="8"/>
  <c r="H158" i="8"/>
  <c r="H157" i="8"/>
  <c r="H156" i="8"/>
  <c r="H155" i="8"/>
  <c r="H154" i="8"/>
  <c r="H153" i="8"/>
  <c r="H152" i="8"/>
  <c r="H151" i="8"/>
  <c r="H150" i="8"/>
  <c r="H145" i="8" s="1"/>
  <c r="AH145" i="8"/>
  <c r="AF145" i="8"/>
  <c r="AE145" i="8"/>
  <c r="Z145" i="8"/>
  <c r="Y145" i="8"/>
  <c r="X145" i="8"/>
  <c r="X163" i="8" s="1"/>
  <c r="W145" i="8"/>
  <c r="W163" i="8" s="1"/>
  <c r="V145" i="8"/>
  <c r="V163" i="8" s="1"/>
  <c r="U145" i="8"/>
  <c r="U163" i="8" s="1"/>
  <c r="T145" i="8"/>
  <c r="S145" i="8"/>
  <c r="N145" i="8"/>
  <c r="I145" i="8"/>
  <c r="F145" i="8"/>
  <c r="H142" i="8"/>
  <c r="H141" i="8"/>
  <c r="H140" i="8"/>
  <c r="H139" i="8"/>
  <c r="H138" i="8"/>
  <c r="H137" i="8"/>
  <c r="H136" i="8"/>
  <c r="H135" i="8"/>
  <c r="H134" i="8"/>
  <c r="AH133" i="8"/>
  <c r="AG133" i="8"/>
  <c r="AF133" i="8"/>
  <c r="Z133" i="8"/>
  <c r="X133" i="8"/>
  <c r="V133" i="8"/>
  <c r="T133" i="8"/>
  <c r="N133" i="8"/>
  <c r="I133" i="8"/>
  <c r="F133" i="8"/>
  <c r="AR131" i="8"/>
  <c r="AR143" i="8" s="1"/>
  <c r="AQ131" i="8"/>
  <c r="AQ143" i="8" s="1"/>
  <c r="H128" i="8"/>
  <c r="H127" i="8"/>
  <c r="H126" i="8"/>
  <c r="H125" i="8"/>
  <c r="H124" i="8"/>
  <c r="H123" i="8"/>
  <c r="H122" i="8"/>
  <c r="H121" i="8"/>
  <c r="H120" i="8"/>
  <c r="H119" i="8"/>
  <c r="H118" i="8"/>
  <c r="H117" i="8"/>
  <c r="H115" i="8"/>
  <c r="H114" i="8"/>
  <c r="H113" i="8"/>
  <c r="H111" i="8"/>
  <c r="H110" i="8"/>
  <c r="H109" i="8"/>
  <c r="H108" i="8"/>
  <c r="H107" i="8"/>
  <c r="H106" i="8"/>
  <c r="AH87" i="8"/>
  <c r="AF87" i="8"/>
  <c r="AE87" i="8"/>
  <c r="AE131" i="8" s="1"/>
  <c r="Z87" i="8"/>
  <c r="Y87" i="8"/>
  <c r="Y131" i="8" s="1"/>
  <c r="X87" i="8"/>
  <c r="W87" i="8"/>
  <c r="W131" i="8" s="1"/>
  <c r="V87" i="8"/>
  <c r="U87" i="8"/>
  <c r="T87" i="8"/>
  <c r="S87" i="8"/>
  <c r="N87" i="8"/>
  <c r="I87" i="8"/>
  <c r="F87" i="8"/>
  <c r="AR85" i="8"/>
  <c r="AQ85" i="8"/>
  <c r="H84" i="8"/>
  <c r="H83" i="8"/>
  <c r="H82" i="8"/>
  <c r="H81" i="8"/>
  <c r="H80" i="8"/>
  <c r="H79" i="8"/>
  <c r="H78" i="8"/>
  <c r="H77" i="8"/>
  <c r="H76" i="8"/>
  <c r="H75" i="8"/>
  <c r="H74" i="8"/>
  <c r="AH72" i="8"/>
  <c r="AF72" i="8"/>
  <c r="AE72" i="8"/>
  <c r="AE85" i="8" s="1"/>
  <c r="Z72" i="8"/>
  <c r="Y72" i="8"/>
  <c r="Y85" i="8" s="1"/>
  <c r="X72" i="8"/>
  <c r="W72" i="8"/>
  <c r="W85" i="8" s="1"/>
  <c r="V72" i="8"/>
  <c r="V85" i="8" s="1"/>
  <c r="U72" i="8"/>
  <c r="T72" i="8"/>
  <c r="S72" i="8"/>
  <c r="N72" i="8"/>
  <c r="I72" i="8"/>
  <c r="F72" i="8"/>
  <c r="AR70" i="8"/>
  <c r="AQ70" i="8"/>
  <c r="H69" i="8"/>
  <c r="H68" i="8"/>
  <c r="AH67" i="8"/>
  <c r="AG67" i="8"/>
  <c r="AF67" i="8"/>
  <c r="AE67" i="8"/>
  <c r="AE70" i="8" s="1"/>
  <c r="Z67" i="8"/>
  <c r="Y67" i="8"/>
  <c r="Y70" i="8" s="1"/>
  <c r="X67" i="8"/>
  <c r="W67" i="8"/>
  <c r="W70" i="8" s="1"/>
  <c r="V67" i="8"/>
  <c r="U67" i="8"/>
  <c r="U70" i="8" s="1"/>
  <c r="T67" i="8"/>
  <c r="S67" i="8"/>
  <c r="N67" i="8"/>
  <c r="I67" i="8"/>
  <c r="F67" i="8"/>
  <c r="AR65" i="8"/>
  <c r="AQ65" i="8"/>
  <c r="H64" i="8"/>
  <c r="H63" i="8"/>
  <c r="H61" i="8" s="1"/>
  <c r="AH61" i="8"/>
  <c r="AG61" i="8"/>
  <c r="AF61" i="8"/>
  <c r="AE61" i="8"/>
  <c r="AE65" i="8" s="1"/>
  <c r="Z61" i="8"/>
  <c r="Y61" i="8"/>
  <c r="Y65" i="8" s="1"/>
  <c r="X61" i="8"/>
  <c r="W61" i="8"/>
  <c r="W65" i="8" s="1"/>
  <c r="V61" i="8"/>
  <c r="U61" i="8"/>
  <c r="U65" i="8" s="1"/>
  <c r="T61" i="8"/>
  <c r="S61" i="8"/>
  <c r="N61" i="8"/>
  <c r="I61" i="8"/>
  <c r="F61" i="8"/>
  <c r="AR59" i="8"/>
  <c r="AQ59" i="8"/>
  <c r="AF59" i="8"/>
  <c r="AE59" i="8"/>
  <c r="Z59" i="8"/>
  <c r="Y59" i="8"/>
  <c r="X59" i="8"/>
  <c r="W59" i="8"/>
  <c r="V59" i="8"/>
  <c r="U59" i="8"/>
  <c r="H58" i="8"/>
  <c r="H57" i="8"/>
  <c r="F56" i="8"/>
  <c r="AR54" i="8"/>
  <c r="AQ54" i="8"/>
  <c r="AF54" i="8"/>
  <c r="AE54" i="8"/>
  <c r="Z54" i="8"/>
  <c r="Y54" i="8"/>
  <c r="X54" i="8"/>
  <c r="W54" i="8"/>
  <c r="V54" i="8"/>
  <c r="U54" i="8"/>
  <c r="H53" i="8"/>
  <c r="H52" i="8"/>
  <c r="F52" i="8"/>
  <c r="AR50" i="8"/>
  <c r="AQ50" i="8"/>
  <c r="AF50" i="8"/>
  <c r="AE50" i="8"/>
  <c r="Z50" i="8"/>
  <c r="Y50" i="8"/>
  <c r="X50" i="8"/>
  <c r="W50" i="8"/>
  <c r="V50" i="8"/>
  <c r="U50" i="8"/>
  <c r="H49" i="8"/>
  <c r="H48" i="8"/>
  <c r="H47" i="8"/>
  <c r="H46" i="8"/>
  <c r="H45" i="8"/>
  <c r="H44" i="8"/>
  <c r="F44" i="8"/>
  <c r="F43" i="8" s="1"/>
  <c r="AR41" i="8"/>
  <c r="AQ41" i="8"/>
  <c r="AF41" i="8"/>
  <c r="AE41" i="8"/>
  <c r="Z41" i="8"/>
  <c r="Y41" i="8"/>
  <c r="X41" i="8"/>
  <c r="W41" i="8"/>
  <c r="V41" i="8"/>
  <c r="U41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L15" i="8"/>
  <c r="F15" i="8"/>
  <c r="AH59" i="8" l="1"/>
  <c r="AG72" i="8"/>
  <c r="AG87" i="8"/>
  <c r="AG41" i="8"/>
  <c r="AH41" i="8"/>
  <c r="AG50" i="8"/>
  <c r="Z85" i="8"/>
  <c r="V131" i="8"/>
  <c r="Z131" i="8"/>
  <c r="AG163" i="8"/>
  <c r="Z181" i="8"/>
  <c r="AH163" i="8"/>
  <c r="X85" i="8"/>
  <c r="AF85" i="8"/>
  <c r="X70" i="8"/>
  <c r="X194" i="8"/>
  <c r="H56" i="8"/>
  <c r="X65" i="8"/>
  <c r="AF65" i="8"/>
  <c r="H72" i="8"/>
  <c r="U131" i="8"/>
  <c r="AG131" i="8" s="1"/>
  <c r="H133" i="8"/>
  <c r="AR197" i="8"/>
  <c r="AQ197" i="8"/>
  <c r="AH50" i="8"/>
  <c r="AG54" i="8"/>
  <c r="V70" i="8"/>
  <c r="Z70" i="8"/>
  <c r="X131" i="8"/>
  <c r="AH131" i="8" s="1"/>
  <c r="AF131" i="8"/>
  <c r="X181" i="8"/>
  <c r="AF181" i="8"/>
  <c r="V194" i="8"/>
  <c r="V197" i="8" s="1"/>
  <c r="Z194" i="8"/>
  <c r="H183" i="8"/>
  <c r="AF70" i="8"/>
  <c r="AH85" i="8"/>
  <c r="AF194" i="8"/>
  <c r="H43" i="8"/>
  <c r="H15" i="8" s="1"/>
  <c r="AH54" i="8"/>
  <c r="AG59" i="8"/>
  <c r="V65" i="8"/>
  <c r="Z65" i="8"/>
  <c r="H67" i="8"/>
  <c r="H87" i="8"/>
  <c r="AG181" i="8"/>
  <c r="X197" i="8"/>
  <c r="AF197" i="8"/>
  <c r="W197" i="8"/>
  <c r="AG70" i="8"/>
  <c r="AG194" i="8"/>
  <c r="Y197" i="8"/>
  <c r="AE197" i="8"/>
  <c r="AG65" i="8"/>
  <c r="AH70" i="8"/>
  <c r="AH194" i="8"/>
  <c r="AG169" i="8"/>
  <c r="AG183" i="8"/>
  <c r="U85" i="8"/>
  <c r="AG85" i="8" s="1"/>
  <c r="AG145" i="8"/>
  <c r="Z197" i="8" l="1"/>
  <c r="AH181" i="8"/>
  <c r="AH65" i="8"/>
  <c r="AG197" i="8"/>
  <c r="U197" i="8"/>
  <c r="X12" i="10"/>
  <c r="X41" i="10" s="1"/>
  <c r="X98" i="10" s="1"/>
  <c r="AH41" i="10" l="1"/>
</calcChain>
</file>

<file path=xl/sharedStrings.xml><?xml version="1.0" encoding="utf-8"?>
<sst xmlns="http://schemas.openxmlformats.org/spreadsheetml/2006/main" count="2047" uniqueCount="569">
  <si>
    <t>No</t>
  </si>
  <si>
    <t>Program Pendidikan Non Formal</t>
  </si>
  <si>
    <t>Program Manajemen Pelayanan Pendidikan</t>
  </si>
  <si>
    <t>Program Perencanaan Pembangunan Daerah</t>
  </si>
  <si>
    <t>B</t>
  </si>
  <si>
    <t>Presentase Penyelesaian Administrasi Perkantoran</t>
  </si>
  <si>
    <t>Dinas Pendidikan</t>
  </si>
  <si>
    <t>persentase peningkatan sarana dan prasarana aparatur</t>
  </si>
  <si>
    <t>presentase peningkatan sumber daya aparatur</t>
  </si>
  <si>
    <t>Nilai SAKIP</t>
  </si>
  <si>
    <t>APK PAUD</t>
  </si>
  <si>
    <t>Harapan Lama Sekolah</t>
  </si>
  <si>
    <t>Sekolah Rujukan SD</t>
  </si>
  <si>
    <t>Sekolah Rujukan SMP</t>
  </si>
  <si>
    <t>Persentase sekolah yang telah menerapkan kurikulum</t>
  </si>
  <si>
    <t>Persentase Sekolah Dasar yang ber Akreditasi minimal B</t>
  </si>
  <si>
    <t>Persentase Sekolah Menengah Pertama yang ber Akreditasi minimal B</t>
  </si>
  <si>
    <t>Menyelenggarakan Program Pendidikan Paket A setara SD</t>
  </si>
  <si>
    <t>Menyelenggarakan Program Pendidikan Paket B setara SMP</t>
  </si>
  <si>
    <t>Menfasilitasi Penyelenggaraan Program Pendidikan Paket C setara SMA</t>
  </si>
  <si>
    <t>Program Pendidikan Luar Biasa</t>
  </si>
  <si>
    <t>Guru yang memenuhi kualifikasi S1/D-IV</t>
  </si>
  <si>
    <t>Rasio guru/murid SD sederajat</t>
  </si>
  <si>
    <t>Rasio guru/murid SMP sederajat</t>
  </si>
  <si>
    <t>Program Pelayanan Administrasi Perkantoran</t>
  </si>
  <si>
    <t>Program Peningkatan Kapasitas Sumber Daya Aparatur</t>
  </si>
  <si>
    <t>Tersedianya dokumen Renja dan Renja Perubahan</t>
  </si>
  <si>
    <t>Sasaran</t>
  </si>
  <si>
    <t>Program/Kegiatan</t>
  </si>
  <si>
    <t>Indikator Kinerja Program (Outcome)/Kegiatan (output)</t>
  </si>
  <si>
    <t>Realisasi Kinerja Pada Triwulan …</t>
  </si>
  <si>
    <t xml:space="preserve">Realisasi Capaian Kinerja dan Anggaran RKPD Tahun 2019 </t>
  </si>
  <si>
    <t>Realisasi Kinerja dan Anggaran RPJMD s/d Akhir Tahun 2019</t>
  </si>
  <si>
    <t>Tingkat Capaian Kinerja dan Realisasi Anggaran RPJMD s/d Tahun 2019 (%)</t>
  </si>
  <si>
    <t>Unit SKPD Penanggung Jawab</t>
  </si>
  <si>
    <t>I</t>
  </si>
  <si>
    <t>II</t>
  </si>
  <si>
    <t>III</t>
  </si>
  <si>
    <t>IV</t>
  </si>
  <si>
    <t>K</t>
  </si>
  <si>
    <t>Rp. (000)</t>
  </si>
  <si>
    <t>Rp.</t>
  </si>
  <si>
    <t>Penyediaan Jasa Komunikasi, Sumber Daya Air dan Listrik</t>
  </si>
  <si>
    <t>Penyediaan Jasa Administrasi Keuangan</t>
  </si>
  <si>
    <t>Rapat Monitoring dan Evaluasi Dalam Daerah</t>
  </si>
  <si>
    <t>Rata-rata capaian kinerja (%)</t>
  </si>
  <si>
    <t>Predikat kinerja</t>
  </si>
  <si>
    <t>S</t>
  </si>
  <si>
    <t>T</t>
  </si>
  <si>
    <t>Program Peningkatan Sarana dan Prasarana Aparatur</t>
  </si>
  <si>
    <t>persen</t>
  </si>
  <si>
    <t>SR</t>
  </si>
  <si>
    <t>ST</t>
  </si>
  <si>
    <t>%</t>
  </si>
  <si>
    <t>Pendidikan dan Pelatihan Formal</t>
  </si>
  <si>
    <t>BB</t>
  </si>
  <si>
    <t>R</t>
  </si>
  <si>
    <t>JUMLAH ANGGARAN DAN REALISASI DARI SELURUH PROGRAM</t>
  </si>
  <si>
    <t>Evaluasi Terhadap hasil Renstra Perangkat Daerah Kabupaten Tanjung Jabung Timur</t>
  </si>
  <si>
    <t>Dinas/Badan/Kecamatan ........................................</t>
  </si>
  <si>
    <t>Tahun 2016-2021</t>
  </si>
  <si>
    <t>Indikator dan Target Kinerja Dinas/Badan/Kecamatan ............................ Yang mengacu pada Sasaran RPJMD Kabupaten Tanjung Jabung Timur :</t>
  </si>
  <si>
    <t>....................................................................................................................................................................................................................................................</t>
  </si>
  <si>
    <t>Data Capaian pada Awal Tahun Perencanaan</t>
  </si>
  <si>
    <t>Target Capaian Pada Akhir Tahun Perencanaan (2021)</t>
  </si>
  <si>
    <t>Target Renstra Tahun ke</t>
  </si>
  <si>
    <t>Realisasi Capaian Tahun ke</t>
  </si>
  <si>
    <t>Rasio Capaian Tahun ke</t>
  </si>
  <si>
    <t>30 = (18/6)*100</t>
  </si>
  <si>
    <t>31 = (19/7)*100</t>
  </si>
  <si>
    <t>32 = (20/8)*100</t>
  </si>
  <si>
    <t>33 = (21/9)*100</t>
  </si>
  <si>
    <t>34 = (22/10)*100</t>
  </si>
  <si>
    <t>35 = (23/11)*100</t>
  </si>
  <si>
    <t>36 = (24/12)*100</t>
  </si>
  <si>
    <t>37 = (25/13)*100</t>
  </si>
  <si>
    <t>38 = (26/14)*100</t>
  </si>
  <si>
    <t>39 = (27/15)*100</t>
  </si>
  <si>
    <t>40 = (28/16)*100</t>
  </si>
  <si>
    <t>41 = (29/17)*100</t>
  </si>
  <si>
    <t>1.01</t>
  </si>
  <si>
    <t xml:space="preserve">Program Pelayanan Administrasi Perkantoran            </t>
  </si>
  <si>
    <t xml:space="preserve">Penyediaan Jasa Surat Menyurat      </t>
  </si>
  <si>
    <t>Lancarnya Pelayanan Administrasi Perkantoran</t>
  </si>
  <si>
    <t>bln</t>
  </si>
  <si>
    <t xml:space="preserve">Penyediaan Jasa Komunikasi, Sumber Daya Air dan Listrik      </t>
  </si>
  <si>
    <t>Terpenuhinya Kebutuhan Kantor</t>
  </si>
  <si>
    <t xml:space="preserve">Penyediaan Jasa Administrasi Keuangan      </t>
  </si>
  <si>
    <t>Meningkatnya Kelancaran Pengelolaan Keuangan</t>
  </si>
  <si>
    <t xml:space="preserve">Penyediaan Jasa Kebersihan Kantor      </t>
  </si>
  <si>
    <t>Terwujudnya Lingkungan Kantor yang bersih</t>
  </si>
  <si>
    <t xml:space="preserve">Penyediaan Jasa Perbaikan Peralatan Kantor      </t>
  </si>
  <si>
    <t>Terawatnya Peralatan Kerja Kantor</t>
  </si>
  <si>
    <t xml:space="preserve">Penyediaan Alat Tulis Kantor      </t>
  </si>
  <si>
    <t>Tersedianya Alat Tulis Kantor</t>
  </si>
  <si>
    <t xml:space="preserve">Penyediaan Barang Cetakan dan Penggandaan      </t>
  </si>
  <si>
    <t>Tersedianya Barang Cetakan dan Penggandaan</t>
  </si>
  <si>
    <t xml:space="preserve">Penyediaan Komponen Instalasi Listrik/Penerangan Bangunan Kantor      </t>
  </si>
  <si>
    <t>Terpenuhinya Komponen Instalasi Listrik</t>
  </si>
  <si>
    <t xml:space="preserve">Penyediaan Peralatan dan Perlengkapan Kantor      </t>
  </si>
  <si>
    <t>Tersedianya Peralatan dan Perlengkapan Kantor</t>
  </si>
  <si>
    <t>paket</t>
  </si>
  <si>
    <t xml:space="preserve">Penyediaan Bahan Bacaan dan Peraturan Perundang-Undangan      </t>
  </si>
  <si>
    <t>Tersedianya Kebutuhan Informasi dan Pemberitaan</t>
  </si>
  <si>
    <t xml:space="preserve">Penyediaan Makanan dan Minuman      </t>
  </si>
  <si>
    <t>Tersedianya Makanan dan Minuman Rapat/Tamu</t>
  </si>
  <si>
    <t xml:space="preserve">Rapat-rapat Koordinasi dan Konsultasi Ke Luar Daerah      </t>
  </si>
  <si>
    <t>Terlaksananya Koordinasi dan Konsultasi ke Luar Daerah</t>
  </si>
  <si>
    <t xml:space="preserve">Penataan File Kepegawaian      </t>
  </si>
  <si>
    <t>Tersedianya Penataan File Kepegawaian</t>
  </si>
  <si>
    <t xml:space="preserve">Penyediaan Biaya Operasional dan Pemeliharaan UPTD Kecamatan Muara Sabak Barat      </t>
  </si>
  <si>
    <t>Meningkatkan kelancaran Tugas UPTD Kecamatan Muara Sabak Barat</t>
  </si>
  <si>
    <t xml:space="preserve">Penyediaan Biaya Operasional dan Pemeliharaan UPTD Kecamatan Muara Sabak Timur      </t>
  </si>
  <si>
    <t>Meningkatkan kelancaran Tugas UPTD Kecamatan Muara Sabak Timur</t>
  </si>
  <si>
    <t xml:space="preserve">Penyediaan Biaya Operasional dan Pemeliharaan UPTD Kecamatan Mendahara      </t>
  </si>
  <si>
    <t>Meningkatkan kelancaran Tugas UPTD Kecamatan Mendahara</t>
  </si>
  <si>
    <t xml:space="preserve">Penyediaan Biaya Operasional dan Pemeliharaan UPTD Kecamatan Mendahara Ulu      </t>
  </si>
  <si>
    <t>Meningkatkan kelancaran Tugas UPTD Kecamatan Mendahara Ulu</t>
  </si>
  <si>
    <t xml:space="preserve">Penyediaan Biaya Operasional dan Pemeliharaan UPTD Kecamatan Geragai      </t>
  </si>
  <si>
    <t>Meningkatkan kelancaran Tugas UPTD Kecamatan Geragai</t>
  </si>
  <si>
    <t xml:space="preserve">Penyediaan Biaya Operasional dan Pemeliharaan UPTD Kecamatan Kuala Jambi      </t>
  </si>
  <si>
    <t>Meningkatkan kelancaran Tugas UPTD Kecamatan Kuala Jambi</t>
  </si>
  <si>
    <t xml:space="preserve">Penyediaan Biaya Operasional dan Pemeliharaan UPTD Kecamatan Dendang      </t>
  </si>
  <si>
    <t>Meningkatkan kelancaran Tugas UPTD Kecamatan Dendang</t>
  </si>
  <si>
    <t xml:space="preserve">Penyediaan Biaya Operasional dan Pemeliharaan UPTD Kecamatan Berbak      </t>
  </si>
  <si>
    <t>Meningkatkan kelancaran Tugas UPTD Kecamatan Berbak</t>
  </si>
  <si>
    <t xml:space="preserve">Penyediaan Biaya Operasional dan Pemeliharaan UPTD Kecamatan Rantau Rasau      </t>
  </si>
  <si>
    <t>Meningkatkan kelancaran Tugas UPTD Kecamatan Rantau Rasau</t>
  </si>
  <si>
    <t xml:space="preserve">Penyediaan Biaya Operasional dan Pemeliharaan UPTD Kecamatan Nipah Panjang      </t>
  </si>
  <si>
    <t>Meningkatkan kelancaran Tugas UPTD Kecamatan Nipah Panjang</t>
  </si>
  <si>
    <t xml:space="preserve">Penyediaan Biaya Operasional dan Pemeliharaan UPTD Kecamatan Sadu      </t>
  </si>
  <si>
    <t>Meningkatkan kelancaran Tugas UPTD Kecamatan Sadu</t>
  </si>
  <si>
    <t xml:space="preserve">Program Peningkatan Sarana dan Prasarana Aparatur            </t>
  </si>
  <si>
    <t xml:space="preserve">Pengadaan Kendaraan Dinas/Operasional      </t>
  </si>
  <si>
    <t>Tersedianya Kendaraan Dinas Kantor/Operasional</t>
  </si>
  <si>
    <t>unit</t>
  </si>
  <si>
    <t>Pemeliharaan Rutin/Berkala Gedung Kantor</t>
  </si>
  <si>
    <t>Terpeliharanya Gedung Kantor</t>
  </si>
  <si>
    <t>Pemeliharaan Rutin/Berkala Kendaraan Dinas/Operasional</t>
  </si>
  <si>
    <t>Tersedianya Perawatan Secara Berkala Kendaraan Dinas/Operasional</t>
  </si>
  <si>
    <t>Pemeliharaan Rutin/Berkala Peralatan Gedung Kantor</t>
  </si>
  <si>
    <t>Terpenuhinya Pemeliharaan Peralatan Kantor</t>
  </si>
  <si>
    <t>Rehabilitasi Sedang/Berat Gedung Kantor</t>
  </si>
  <si>
    <t>Tersedianya Gedung Kantor yang Baik</t>
  </si>
  <si>
    <t>Pengadaan dan Pensertifikatan Tanah</t>
  </si>
  <si>
    <t xml:space="preserve">Tersedianya Tanah untuk Pembangunan Gedung Sekolah </t>
  </si>
  <si>
    <t>persil</t>
  </si>
  <si>
    <t xml:space="preserve">Program Peningkatan Disiplin Aparatur            </t>
  </si>
  <si>
    <t xml:space="preserve">Pengadaan Pakaian Dinas Berserta Perlengkapannya      </t>
  </si>
  <si>
    <t>Terpenuhinya Pakaian Dinas Pegawai</t>
  </si>
  <si>
    <t>stel</t>
  </si>
  <si>
    <t xml:space="preserve">Program Peningkatan Kapasitas Sumber Daya Aparatur            </t>
  </si>
  <si>
    <t xml:space="preserve">Pendidikan dan Pelatihan Formal      </t>
  </si>
  <si>
    <t>Tersedianya Pelatihan Formal</t>
  </si>
  <si>
    <t>org</t>
  </si>
  <si>
    <t xml:space="preserve">Penilaian Angka Kredit Tenaga Fungsional      </t>
  </si>
  <si>
    <t>Terpenuhinya Penilaian Angka Kredit Guru</t>
  </si>
  <si>
    <t>keg</t>
  </si>
  <si>
    <t xml:space="preserve">Program Peningkatan Pengembangan Sistem Pelaporan Capaian Kinerja dan Keuangan            </t>
  </si>
  <si>
    <t>CC</t>
  </si>
  <si>
    <t xml:space="preserve">Penyusunan Laporan Akuntabilitas Kinerja Pemerintah      </t>
  </si>
  <si>
    <t>Tersedianya LAKIP SKPD Dinas Pendidikan</t>
  </si>
  <si>
    <t>dok</t>
  </si>
  <si>
    <t xml:space="preserve">Perencanaan, Evaluasi dan Pelaporan SKPD      </t>
  </si>
  <si>
    <t>Terlaksananya Perencanaan, Evaluasi dan Pelaporan SKPD Dinas Pendidikan</t>
  </si>
  <si>
    <t>Penyusunan Rencana Strategis (RENSTRA)</t>
  </si>
  <si>
    <t>Tersedianya RENSTRA SKPD Dinas Pendidikan</t>
  </si>
  <si>
    <t xml:space="preserve">Penyusunan Rencana Kerja (RENJA)      </t>
  </si>
  <si>
    <t>Tersedianya RENJA SKPD Dinas Pendidikan</t>
  </si>
  <si>
    <t xml:space="preserve">Program Pendidikan Anak Usia Dini            </t>
  </si>
  <si>
    <t>Pembangunan Sanitasi dan Air Bersih</t>
  </si>
  <si>
    <t>Tersedianya Sanitasi dan Air Bersih TK Pembina Negeri</t>
  </si>
  <si>
    <t xml:space="preserve">Rehabilitasi Sedang/Berat Ruang Kelas </t>
  </si>
  <si>
    <t>Terpenuhinya Sarana Prasarana TK Pembina Negeri</t>
  </si>
  <si>
    <t>Pelatihan Kompetensi Tenaga Pendidik</t>
  </si>
  <si>
    <t xml:space="preserve">Peningkatan Kwalitas dan SDM Pendidik dan Tenaga Kependidikan PAUD </t>
  </si>
  <si>
    <t xml:space="preserve">Penyelenggaraan Pendidikan Anak Usia Dini      </t>
  </si>
  <si>
    <t>Terselenggaranya Pendidikan Anak Usia Dini</t>
  </si>
  <si>
    <t xml:space="preserve">Penyelenggaraan Koordinasi dan Kerjasama Pendidikan Anak Usia Dini      </t>
  </si>
  <si>
    <t>Terselengaranya Koordinasi dan Kerjasama Pendidikan Anak Usia Dini</t>
  </si>
  <si>
    <t xml:space="preserve">Publikasi dan Sosialisasi Pendidikan Anak Usia Dini      </t>
  </si>
  <si>
    <t xml:space="preserve">Terbinanya Minat Bakat dan Kreativitas PAUD </t>
  </si>
  <si>
    <t>Pembangunan Gedung Baru</t>
  </si>
  <si>
    <t>Tersedianya Gedung Baru TK Pembina Negeri</t>
  </si>
  <si>
    <t xml:space="preserve">Bantuan Operasional PAUD (BOP)      </t>
  </si>
  <si>
    <t xml:space="preserve">Terpenuhinya Biaya Operasional PAUD </t>
  </si>
  <si>
    <t xml:space="preserve">Diklat Guru PAUD Berjenjang Tingkat Dasar     </t>
  </si>
  <si>
    <t>Terlaksananya Diklat Guru PAUD</t>
  </si>
  <si>
    <t xml:space="preserve">Pengadaan Alat Peraga Pendidikan      </t>
  </si>
  <si>
    <t>Terlaksananya Pengadaan Alat Peraga Pendidikan</t>
  </si>
  <si>
    <t xml:space="preserve">Pembangunan Taman Lapangan Upacara dan Fasilitas Parkir      </t>
  </si>
  <si>
    <t xml:space="preserve">Program Wajib Belajar Pendidikan Dasar Sembilan Tahun            </t>
  </si>
  <si>
    <t>Angka Rata-rata Lama Sekolah</t>
  </si>
  <si>
    <t>Tahun</t>
  </si>
  <si>
    <t>Angka Partisipasi Murni (APM) SD Sederajat</t>
  </si>
  <si>
    <t>Angka Partisipasi Murni (APM) SMP Sederajat</t>
  </si>
  <si>
    <t>Angka Partisipasi Kasar (APK) PAUD</t>
  </si>
  <si>
    <t>Angka Partisipasi Kasar (APK) SD Sederajat</t>
  </si>
  <si>
    <t>Angka Partisipasi Kasar (APK) SMP Sederajat</t>
  </si>
  <si>
    <t>Angka Partisipasi Sekolah SD</t>
  </si>
  <si>
    <t>Angka Partisipasi Sekolah SMP</t>
  </si>
  <si>
    <t>Jumlah Peserta Didik dalam tiap rombel untuk SD tidak melebihi 32 siswa</t>
  </si>
  <si>
    <t>Jumlah Peserta Didik dalam tiap rombel untuk SMP tidak melebihi 36 siswa</t>
  </si>
  <si>
    <t xml:space="preserve">Meningkatnya kondisi baik ruang kelas SD </t>
  </si>
  <si>
    <t xml:space="preserve">Meningkatnya kondisi baik ruang kelas SMP </t>
  </si>
  <si>
    <t>SD</t>
  </si>
  <si>
    <t>SMP</t>
  </si>
  <si>
    <t>Sekolah</t>
  </si>
  <si>
    <t xml:space="preserve">Penambahan Ruang Kelas Sekolah (Bidang Pembinaan SD dan SMP)      </t>
  </si>
  <si>
    <t>Tersedianya Ruang Belajar Siswa SD dan SMP</t>
  </si>
  <si>
    <t xml:space="preserve">Pembangunan Taman Lapangan Upacara dan Fasilitas Parkir (Bid. Pembinaan SD dan SMP)     </t>
  </si>
  <si>
    <t>Tersedianya Taman, Lapangan Upacara dan Fasilitasi Parkir Sekolah SD dan SMP</t>
  </si>
  <si>
    <t>Pembangunan Ruang Unit Kesehatan Sekolah (Bid Pembinaan SD)</t>
  </si>
  <si>
    <t>Tersedianya Ruang Unit Kesehatan Sekolah SD dan SMP</t>
  </si>
  <si>
    <t xml:space="preserve">Pembangunan Perpustakaan      </t>
  </si>
  <si>
    <t>Tersedianya Ruang Perpustakaan Sekolah SD dan SMP</t>
  </si>
  <si>
    <t xml:space="preserve">Pembangunan Sarana Air Bersih dan Sanitasi Sekolah      </t>
  </si>
  <si>
    <t>Tersedianya Sarana Air Bersih dan Sanitasi Sekolah SD dan SMP</t>
  </si>
  <si>
    <t>Pengadaan Alat Praktek dan Peraga Siswa</t>
  </si>
  <si>
    <t>Terpenuhinya Alat Praktek dan Peraga Siswa SD dan SMP</t>
  </si>
  <si>
    <t xml:space="preserve">PEMBANGUNAN RUANG LABORATORIUM DAN RUANG PRATIKUM SEKOLAH </t>
  </si>
  <si>
    <t>Terpenuhinya Alat laboratorium SD dan SMP</t>
  </si>
  <si>
    <t xml:space="preserve">Pengadaan Meubelair Sekolah      </t>
  </si>
  <si>
    <t>Terpenuhinya Meubelair Sekolah SD dan SMP</t>
  </si>
  <si>
    <t xml:space="preserve">Rehabilitasi Sedang/Berat Bangunan Sekolah      </t>
  </si>
  <si>
    <t>Terpeliharanya Sarana dan Prasarana Sekolah SD dan SMP</t>
  </si>
  <si>
    <t xml:space="preserve">Rehabilitasi Sedang/Berat Rumah Dinas Kepala, Guru dan Penjaga Sekolah      </t>
  </si>
  <si>
    <t>Terpeliharanya Bangunan Rumah Dinas Sekolah SD dan SMP</t>
  </si>
  <si>
    <t xml:space="preserve">Pembangunan Rumah Dinas Kepala, Guru dan Penjaga Sekolah      </t>
  </si>
  <si>
    <t>Jumlah Rumah Dinas Kepala, Guru dan Penjaga Sekolah SD dan SMP</t>
  </si>
  <si>
    <t xml:space="preserve">Pelatihan Penyusunan Kurikulum </t>
  </si>
  <si>
    <t>Tersedianya Pelatihan Tenaga Pendidik SD dan SMP</t>
  </si>
  <si>
    <t>Penyediaan Biaya Operasional Sekolah (BOS)</t>
  </si>
  <si>
    <t>Terpenuhinya BOS untuk Jenjang SD dan SMP</t>
  </si>
  <si>
    <t>Penyediaan Buku Pelajaran SD dan SMP</t>
  </si>
  <si>
    <t>Terpenuhinya Buku Pelajaran SD dan SMP</t>
  </si>
  <si>
    <t>Pembinaan Minat, Bakat dan Kreatifitas Siswa</t>
  </si>
  <si>
    <t>Terbinanya Kreatifitas Siswa SD dan SMP</t>
  </si>
  <si>
    <t>Penyelenggaraan Akreditasi Sekolah</t>
  </si>
  <si>
    <t>Terlaksananya Akreditasi Sekolah SD dan SMP</t>
  </si>
  <si>
    <t>Monitoring, Evaluasi dan Pelaporan</t>
  </si>
  <si>
    <t>Terlaksananya Monitoring, Evaluasi dan Pelaporan kegiatan SD dan SMP</t>
  </si>
  <si>
    <t>Pembinaan Sekolah Sehat/Berwawasan</t>
  </si>
  <si>
    <t>Terpenuhinya UKS Sekolah SD dan SMP yang Baik dan Bersih</t>
  </si>
  <si>
    <t>Pengadaan Buku Kepustakaan</t>
  </si>
  <si>
    <t>Tersedianya Buku Kepustakaan SD dan SMP</t>
  </si>
  <si>
    <t>Pengadaan Peralatan Pendidikan</t>
  </si>
  <si>
    <t>Tersedianya Peralatan Pendidikan SD dan SMP</t>
  </si>
  <si>
    <t>Pengadaan Media Pendidikan</t>
  </si>
  <si>
    <t>Tersedianya Media Pendidikan SD dan SMP</t>
  </si>
  <si>
    <t>Penyelenggaraan Ujian Nasional (UN)</t>
  </si>
  <si>
    <t>Meningkatnya Nilai UN Siswa SD dan SMP</t>
  </si>
  <si>
    <t>Pembinaan Kelompok Kerja Guru (KKG)</t>
  </si>
  <si>
    <t>Terpenuhinya Pendidikan yang Bermutu</t>
  </si>
  <si>
    <t>Dana BOS SMP</t>
  </si>
  <si>
    <t>Terlaksananya Dana BOS SMP</t>
  </si>
  <si>
    <t>Dana BOS SD</t>
  </si>
  <si>
    <t>Terlaksananya Dana BOS SD</t>
  </si>
  <si>
    <t>Program Pendidikan Menengah</t>
  </si>
  <si>
    <t>Pembangunan Laboratorium dan Ruang Praktek</t>
  </si>
  <si>
    <t>Terpenuhinya Ruang Laboratorium dan Ruang Praktek SMA/SMK</t>
  </si>
  <si>
    <t>Tersedianya Sarana Air Bersih dan Sanitasi Sekolah SMA/SMK</t>
  </si>
  <si>
    <t>Rehabilitasi Sedang/Berat Ruang Kelas</t>
  </si>
  <si>
    <t>Terpeliharanya Sarana dan Prasarana Sekolah SMA/SMK</t>
  </si>
  <si>
    <t>Penyediaan Bantuan Operasional Manajemen Mutu (BOMM)</t>
  </si>
  <si>
    <t>Terpenuhinya BOMM untuk Jenjang SMA/SMK</t>
  </si>
  <si>
    <t>Penyelenggaraan Paket C</t>
  </si>
  <si>
    <t>Terpenuhinya Pendidikan Wajib Belajar Dua Belas Tahun</t>
  </si>
  <si>
    <t>Terlaksananya Monitoring, Evaluasi dan Pelaporan kegiatan SMA/SMK</t>
  </si>
  <si>
    <t>Terbinanya Kreatifitas Siswa SMA/SMK</t>
  </si>
  <si>
    <t xml:space="preserve">Terpenuhinya UKS sekolah SMA/SMK yang Baik dan Bersih </t>
  </si>
  <si>
    <t>Pembangunan Taman dan Lapangan Upacara</t>
  </si>
  <si>
    <t>Tersedianya Taman, Lapangan Upacara dan Fasilitasi Parkir Sekolah SMA/SMK</t>
  </si>
  <si>
    <t>Jumlah Persentase Angka Melek Huruf</t>
  </si>
  <si>
    <t>Pemberdayaan Tenaga Pendidik Non Formal</t>
  </si>
  <si>
    <t>Terpenuhinya Tenaga Pendidik Non Formal</t>
  </si>
  <si>
    <t>Pemberian Bantuan Operasional Pendidikan Non Formal</t>
  </si>
  <si>
    <t>Tersedianya Bantuan Operasional Pendidikan Non Formal</t>
  </si>
  <si>
    <t>Pembinaan Pendidikan Kursus dan Kelembagaan</t>
  </si>
  <si>
    <t>Tersedianya Lembaga Kursus yang Baik</t>
  </si>
  <si>
    <t>Pengembangan Pendidikan Keaksaraan</t>
  </si>
  <si>
    <t>Tersedianya Pendidikan Keaksaraan</t>
  </si>
  <si>
    <t>Pengembangan Pendidikan Kecakapan Hidup</t>
  </si>
  <si>
    <t>Pengembangan Kurikulum Bahan ajar dan Model Pembelajaran PNF</t>
  </si>
  <si>
    <t>Terpenuhinya Pendidikan Bermutu</t>
  </si>
  <si>
    <t>Tersedianya Monev dan UN PNF</t>
  </si>
  <si>
    <t xml:space="preserve">Penyelenggaraan Paket B      </t>
  </si>
  <si>
    <t>Terpenuhinya Pendidikan Wajib Belajar Sembilan Tahun</t>
  </si>
  <si>
    <t xml:space="preserve">Penyelenggaraan Paket A      </t>
  </si>
  <si>
    <t>Rehab Gedung SKB</t>
  </si>
  <si>
    <t>Terpeliharanya Gedung SKB</t>
  </si>
  <si>
    <t>Pembangunan Saggar Kegiatan Belajar</t>
  </si>
  <si>
    <t>Jumlah SKB yang dibangun</t>
  </si>
  <si>
    <t>Penyediaan Makan Minum Siswa dan Pengurus SDLB</t>
  </si>
  <si>
    <t>Terpenuhinya Makanan dan Minum Siswa/Pengurus SDLB</t>
  </si>
  <si>
    <t>Program Peningkatan Mutu Pendidik dan Tenaga Kependidikan</t>
  </si>
  <si>
    <t>Pelaksanaan Sertifikasi Pendidik</t>
  </si>
  <si>
    <t>Terlaksananya Sertifikasi Pendidik</t>
  </si>
  <si>
    <t xml:space="preserve">PEMBINAAN TENAGA PENDIDIK DAN TENAGA KEPENDIDIKAN
</t>
  </si>
  <si>
    <t>Pembinaan Kelompok Guru Pembelajar</t>
  </si>
  <si>
    <t>Meningkatnya Profesional Tenaga Pendidik SD dan SMP</t>
  </si>
  <si>
    <t>Pelaksanaan Uji Kompetensi Pendidik dan Tenaga Kependidikan</t>
  </si>
  <si>
    <t>Terlaksananya Uji Kompetensi Pendidik dan Tenaga Kependidikan</t>
  </si>
  <si>
    <t>Pelatihan Manajerial Dana BOS bagi Kepala SD dan SMP</t>
  </si>
  <si>
    <t>Terlaksananya Pelatihan Manajerial Dana BOS bagi Kepala SD dan SMP</t>
  </si>
  <si>
    <t>Pengembangan Sistem Penghargaan dan Perlindungan terhadap Profesi PTK</t>
  </si>
  <si>
    <t>BOS Pengganti Komite</t>
  </si>
  <si>
    <t>Monitoring Evaluasi dan Pelaporan (BOS)</t>
  </si>
  <si>
    <t>Terlaksananya Monitoring Evaluasi dan Pelaporan (BOS)</t>
  </si>
  <si>
    <t>Olimpiade Guru SD, SMP</t>
  </si>
  <si>
    <t>Peningkatan Kreativitas Guru SD dan SMP</t>
  </si>
  <si>
    <t>Diklat Peningkatan Kompetensi Guru dan Pengawas Sekolah</t>
  </si>
  <si>
    <t>Pelaksanaan Kerjasama secara Kelembagaan di Bidang Pendidikan</t>
  </si>
  <si>
    <t>Terlaksananya Kerjasama secara Kelembagaan di Bidang Pendidikan</t>
  </si>
  <si>
    <t>PENGELOLAAN DAN PENGEMBANGAN DAPODIK</t>
  </si>
  <si>
    <t>PENYUSUNAN PROFIL PENDIDIKAN</t>
  </si>
  <si>
    <t>Pelaksanaan Sosialisasi dan Advokasi Peraturan Pemerintah di Bidang Pendidikan serta Gender</t>
  </si>
  <si>
    <t>Terlaksananya Sosialisasi dan Advokasi Peraturan Pemerintah di Bidang Pendidikan serta Gender</t>
  </si>
  <si>
    <t>Penerapan Sistem dan Informasi Manajemen Pendidikan</t>
  </si>
  <si>
    <t>Terlaksananya Penerapan Sistem dan Informasi Manajemen Pendidikan</t>
  </si>
  <si>
    <t>Penyelenggaraan Seminar dan Loka Karya serta Diskusi Ilmiah tentang Berbagai Isu tentang Pendidikan</t>
  </si>
  <si>
    <t>Terlaksananya Seminar dan Loka Karya serta Diskusi Ilmiah tentang Berbagai Isu tentang Pendidikan</t>
  </si>
  <si>
    <t>Terlaksananya Monitoring, Evaluasi dan Pelaporan</t>
  </si>
  <si>
    <t>Penyusunan Perencanaan dan Program</t>
  </si>
  <si>
    <t>Terlaksananya Penyusunan Perencanaan dan Program SKPD Dinas Pendidikan</t>
  </si>
  <si>
    <t>Faktor Pendorong Pencapaian Kinerja :</t>
  </si>
  <si>
    <t>Faktor Penghambat :</t>
  </si>
  <si>
    <t>Usulan Tindak Lanjut pada Renja Perangkat Daerah Tahun Berikutnya :</t>
  </si>
  <si>
    <t>Usulan Tindak Lanjut pada Renstra Perangkat Daerah Tahun Berikutnya :</t>
  </si>
  <si>
    <t>TOTAL RATA-RATA CAPAIAN KINERJA DAN ANGGARAN DARI SELURUH PROGRAM (PROGRAM 1 s.d. PROGRAM 13)</t>
  </si>
  <si>
    <t>PREDIKAT KINERJA DARI SELURUH PROGRAM (PROGRAM 1 s.d. PROGRAM 13)</t>
  </si>
  <si>
    <t>Kepala Bappeda</t>
  </si>
  <si>
    <t>Drs. Ali Fahruddin, M.PA</t>
  </si>
  <si>
    <t>Pembina Tk.1/IV.b</t>
  </si>
  <si>
    <t>NIP. 19761113 199511 1 001</t>
  </si>
  <si>
    <t>Penyediaan jasa kebersihan kantor</t>
  </si>
  <si>
    <t>Persentase Peningkatan Disiplin Aparatur</t>
  </si>
  <si>
    <t>kali</t>
  </si>
  <si>
    <t>-</t>
  </si>
  <si>
    <t>Penyediaan Peralatan dan Perlengkapan Kantor</t>
  </si>
  <si>
    <t>Presentase Peningkatan Sarana dan Prasarana Aparatur</t>
  </si>
  <si>
    <t>Penyediaan alat tulis kantor</t>
  </si>
  <si>
    <t>Penyediaan Logistik Pameran</t>
  </si>
  <si>
    <t>Penyusunan Rencana Kerja (Renja)</t>
  </si>
  <si>
    <t>Penyediaan Bahan Bacaan dan Peraturan Perundang-undangan</t>
  </si>
  <si>
    <t>Pengadaan Pakaian Dinas Beserta Perlengkapannya</t>
  </si>
  <si>
    <t>URUSAN PENUNJANG</t>
  </si>
  <si>
    <t>BADAN PENELITIAN PEMBANGUNAN DAERAH</t>
  </si>
  <si>
    <t xml:space="preserve">Badan Penelitian dan Pengembangan Daerah </t>
  </si>
  <si>
    <t>Penyediaan jasa Perbaikan Peralatan Kantor</t>
  </si>
  <si>
    <t>Penyediaan Barang Cetakan dan Pengedaan</t>
  </si>
  <si>
    <t>Penyediaan Komponen dan Instalasi/Penerangan Gedung Kantor</t>
  </si>
  <si>
    <t>Penyediaan Bahan Makan dan Minum</t>
  </si>
  <si>
    <t>Tersedianya Makanan dan Minuman</t>
  </si>
  <si>
    <t>Rapat-rapat Koordinasi dan Konsultasi ke Luar Daerah</t>
  </si>
  <si>
    <t>Penetaan File Kepegawaian</t>
  </si>
  <si>
    <t>Pemeliharaan Rutin/Berkala Kendaraan Dinas/perasional</t>
  </si>
  <si>
    <t>BALITBANGDA</t>
  </si>
  <si>
    <t>Program Peningkatan Disiplin  Aparatur</t>
  </si>
  <si>
    <t>Persentase Peningkatan Kapasitas Disiplin Aparatur</t>
  </si>
  <si>
    <t xml:space="preserve">Program Perencanaan Pembangunan Daerah </t>
  </si>
  <si>
    <t>Penyusunan Rencana Strategis (Renstra)</t>
  </si>
  <si>
    <t>Kajian</t>
  </si>
  <si>
    <t xml:space="preserve">Kelembagaan dan Kelaksanaan </t>
  </si>
  <si>
    <t>Persentase Kelembagaan dan Kelaksanaan</t>
  </si>
  <si>
    <t xml:space="preserve">Kegiatan Hakteknas </t>
  </si>
  <si>
    <t>Kegiatan Rakorda</t>
  </si>
  <si>
    <t>Kegiatan Sistem Inovasi Daerah(SIDA)</t>
  </si>
  <si>
    <t xml:space="preserve">Kegiatan Pengembangan Jaringan Penelitian daerah </t>
  </si>
  <si>
    <t xml:space="preserve">Kegiatan Dewan Riset Daerah </t>
  </si>
  <si>
    <t>TOTAL RATA-RATA CAPAIAN KINERJA DAN ANGGARAN DARI SELURUH PROGRAM (PROGRAM 1 s.d. PROGRAM 7)</t>
  </si>
  <si>
    <t>PREDIKAT KINERJA DARI SELURUH PROGRAM (PROGRAM 1 s.d. PROGRAM 7)</t>
  </si>
  <si>
    <t xml:space="preserve">Program Penelitian dan Pengembangan </t>
  </si>
  <si>
    <t xml:space="preserve">Persentase Penelitian dan Pengembangan </t>
  </si>
  <si>
    <t>Penelitian dan Pengembangan Bidang Sosial dan pemerintahan</t>
  </si>
  <si>
    <t>Penelitian dan Pngembangan Daerah Bidang Ekonomi dan Pembangunan</t>
  </si>
  <si>
    <t>Penelitian dan Pengembangan Daerah Bidang Inovasi dan Teknologi</t>
  </si>
  <si>
    <t>Jumlah Litbang Bidang sosial dan Pemerintahan</t>
  </si>
  <si>
    <t>Jumlah Litbang Bidang Ekonomi dan Pembangunan</t>
  </si>
  <si>
    <t>Jumlah Litbang Bidang Inovasi dan Teknologi</t>
  </si>
  <si>
    <t>Penguatan Fungsi Litbang</t>
  </si>
  <si>
    <t>Meningkatnya Kualitas Kajian yang dupergunakan dalam rangka mengambil kebijakan daerah</t>
  </si>
  <si>
    <t>Meningkatnya pelanan publik, akuntabilitas, kinerja, dan keuangan</t>
  </si>
  <si>
    <t>Faktor Penghambat : Tertundanya Pelaksanaan kegiatan penelitian dan kegiatan Hakteknas yang disebabkan adanya pengunduran waktu dari tenaga ahli</t>
  </si>
  <si>
    <t xml:space="preserve">Tindak Lanjut yang diperlukan dalam Renja Perangkat Daerah Berikutnya : kegiatan penelitian harus sesuai dengan jadwal yang ditetapkan  </t>
  </si>
  <si>
    <t xml:space="preserve">Faktor Pendorong Pencapaian Kinerja : Kegiatan dilaksanakan sesuai dengan target kinerja yang telah ditetapkan </t>
  </si>
  <si>
    <t>Tindak Lanjut yang diperlukan dalam triwulan Berikutnya :percepatan pencapaian target yang belum tercapai</t>
  </si>
  <si>
    <t xml:space="preserve">Tersedianya Jasa Komunikasi, Sumber Daya Air dan Listrik      </t>
  </si>
  <si>
    <t xml:space="preserve">Pembayaran Jasa Komunikasi, Sumber Daya Air dan Listrik      </t>
  </si>
  <si>
    <t xml:space="preserve">Tersedianya Jasa Administrasi Keuangan      </t>
  </si>
  <si>
    <t xml:space="preserve">Pembayaran Jasa Administrasi Keuangan      </t>
  </si>
  <si>
    <t xml:space="preserve">Penyediaan Kebersihan Kantor      </t>
  </si>
  <si>
    <t xml:space="preserve">Tersedianya Komponen Kebersihan Kantor      </t>
  </si>
  <si>
    <t>Tersedianya Kebersihan Kantor</t>
  </si>
  <si>
    <t xml:space="preserve">Penyediaan Jasa Perbaikan Peralatan Kerja    </t>
  </si>
  <si>
    <t xml:space="preserve">Penyediaan Pemeliharaan Peralatan Kerja    </t>
  </si>
  <si>
    <t>Jumlah Perbaikan Peralatan Kantor</t>
  </si>
  <si>
    <t>Pengadaan  Alat Tulis Kantor</t>
  </si>
  <si>
    <t>Pembayaran jasa komunikasi,sumber daya air dan listrik</t>
  </si>
  <si>
    <t>Pembayaran Jasa Administrasi Keuangan</t>
  </si>
  <si>
    <t>Pengadaan Alat Tulis Kantor</t>
  </si>
  <si>
    <t>Jumlah Jenis  Barang Cetakan , Jumlah Penggandaan</t>
  </si>
  <si>
    <t>Jumlah pemeliharan Peralatan Kerja</t>
  </si>
  <si>
    <t>Jumlah Komponen Instalasi Listrik/Penerangan Bangunan Kantor</t>
  </si>
  <si>
    <t>Jumlah Peralatan dan Perlengkapan Kantor</t>
  </si>
  <si>
    <t>Pembayaran Tagihan Surat Kabar</t>
  </si>
  <si>
    <t>Pembayaran Koordinasi dan Konsultasi Luar Daerah</t>
  </si>
  <si>
    <t>Pembayaran Jasa PHTT</t>
  </si>
  <si>
    <t xml:space="preserve">Pembayaran  Monitoring dan Evaluasi Dalam Daerah </t>
  </si>
  <si>
    <t>Pembayaran  Logistik Pameran</t>
  </si>
  <si>
    <t>Jumlah Lomba Hakteknas</t>
  </si>
  <si>
    <t>Jumlah Rapat Penguatan Fungsi Litbang</t>
  </si>
  <si>
    <t xml:space="preserve">Jumlah Sistem Inovasi Daerah      (SIDA)  </t>
  </si>
  <si>
    <t>Jumlah Pengembangan Jaringan penelitian</t>
  </si>
  <si>
    <t>Jumlah Dewan Riset Daerah</t>
  </si>
  <si>
    <t>Jumlah  Kendaraan yang terpelihara</t>
  </si>
  <si>
    <t>Jumlah Pakaian Dinas ASN</t>
  </si>
  <si>
    <t>Jumlah ASN yang Mengikuti Diklat</t>
  </si>
  <si>
    <t xml:space="preserve">Jumlah Dokumen Perencanaan </t>
  </si>
  <si>
    <t>Jumlah Rapat Rakorda</t>
  </si>
  <si>
    <t>Presentase Keselarasan pembangunan</t>
  </si>
  <si>
    <t>thn</t>
  </si>
  <si>
    <t>Kali</t>
  </si>
  <si>
    <t>Unit</t>
  </si>
  <si>
    <t>Thn</t>
  </si>
  <si>
    <t>Jenis</t>
  </si>
  <si>
    <t>Buah</t>
  </si>
  <si>
    <t>Stel</t>
  </si>
  <si>
    <t>Orang</t>
  </si>
  <si>
    <t>lomba</t>
  </si>
  <si>
    <t xml:space="preserve">  </t>
  </si>
  <si>
    <t>BADAN PENELITIAN DAN PENGEMBANGAN DAERAH</t>
  </si>
  <si>
    <t>Evaluasi Terhadap Hasil Renstra Perangkat Daerah Kabupaten Tanjung Jabung Timur</t>
  </si>
  <si>
    <t>Indikator dan Target Kinerja Badan Penelitian dan Pengembangan Daerah Yang mengacu pada Sasaran RPJMD Kabupaten Tanjung Jabung Timur :</t>
  </si>
  <si>
    <t>Jumlah Jenis Barang Cetakan, Jumlah Penggandaan</t>
  </si>
  <si>
    <t>Jumlah Komponen Instalasi Listrik/Penerangan</t>
  </si>
  <si>
    <t>Jumlah Peralatan dan Perlengkapan kantor</t>
  </si>
  <si>
    <t>Tersedianya bahan Bacaan dan Peraturan Perundang - undangan</t>
  </si>
  <si>
    <t>Tersedianya makananan dan Minuman</t>
  </si>
  <si>
    <t>Pembayaran makan Minum Rapat/Tamu</t>
  </si>
  <si>
    <t>Rapat - rapat koordinasi dan konsultasi keluar daerah.</t>
  </si>
  <si>
    <t>Terpenuhinya Biaya Perjalanan Dinas Dalam rangka Rapat-rapat Koordinasi dan Konsultasi Luar Daerah</t>
  </si>
  <si>
    <t xml:space="preserve">Tersedianya Petugas Kebersihan,Keamanan dan Administrasi Perkantoran </t>
  </si>
  <si>
    <t>Rapat monitoring dan evaluasi dalam daerah.</t>
  </si>
  <si>
    <t>Terpenuhinya Biaya Perjalanan Dinas rapat Monitoring ,dan Evaluasi Dalam Daerah</t>
  </si>
  <si>
    <t>Pembayaran Monitoring ,Evaluasi Dalam Daerah</t>
  </si>
  <si>
    <t>Pembayaran Logistik Pameran</t>
  </si>
  <si>
    <t>Penyediaan bahan Logistik Pameran</t>
  </si>
  <si>
    <t>Pemeliharaan rutin/berkala kendaraan dinas/operasional</t>
  </si>
  <si>
    <t>Pengadaan Kendaraan Dinas</t>
  </si>
  <si>
    <t xml:space="preserve">Pemeliharaan Gedung dan Bangunan </t>
  </si>
  <si>
    <t>Tersedianya Kendaraan Dinas Operasional</t>
  </si>
  <si>
    <t>Jumlah Kendaraan yang Terpelihara</t>
  </si>
  <si>
    <t>Tersedianya Pemeliharaan Gedung dan Bangunan</t>
  </si>
  <si>
    <t>Pengadaan pakaian dinas beserta perlengkapanya</t>
  </si>
  <si>
    <t>Tersediaya Sumber Daya Aparatur yang Profesional</t>
  </si>
  <si>
    <t xml:space="preserve"> Penyusunan Rencana Kerja (RENJA) dan Perubahan Rencana Kerja</t>
  </si>
  <si>
    <t>Penyusunan Rencana Strategis  (RENSTRA)</t>
  </si>
  <si>
    <t>Tesedianya Dokumen Renja dan Perubahan Renja SKPD</t>
  </si>
  <si>
    <t>Jumlah Dokumen Perencanaan</t>
  </si>
  <si>
    <t>Tersedianya Dokumen Renstra</t>
  </si>
  <si>
    <t xml:space="preserve">Program Penelitian dan Pengembangan            </t>
  </si>
  <si>
    <t>Persentase penelitian dan Pengembangan</t>
  </si>
  <si>
    <t>Kegiatan Penelitian dan Pengembangan  Bidang Sosial dan Pemerintahan</t>
  </si>
  <si>
    <t>Kegiatan Penelitian dan Pengembangan Bidang Ekonomi dan Pembangunan</t>
  </si>
  <si>
    <t>Kegiatan Penelitian dan Pengembangan Bidang Inovasi dan Teknologi</t>
  </si>
  <si>
    <t>Terlaksananya Penelitian dan Pengembangan Bidang Sosial dan Pemerintahan</t>
  </si>
  <si>
    <t>Jumlah Litbang bidang Sosial Dan Pemerintahan</t>
  </si>
  <si>
    <t>Terlaksananya Penelitian dan Pengembangan Bidang Ekonomi  dan Pembangunan</t>
  </si>
  <si>
    <t>Jumlah Litbang bidang Ekonomi dan pembangunan</t>
  </si>
  <si>
    <t>Terlaksananya Penelitian dan Pengembangan Bidang Inovasi dan Teknologi</t>
  </si>
  <si>
    <t>Jumlah Litbang bidang Inovasi Dan Teknologi</t>
  </si>
  <si>
    <t xml:space="preserve">Program Kelembagaan dan kelaksanaan            </t>
  </si>
  <si>
    <t>Persentase Kelembagan dan kelaksanaan</t>
  </si>
  <si>
    <t xml:space="preserve"> Kegiatan Rapat Koordinasi Daerah (RAKORDA)</t>
  </si>
  <si>
    <t>Terlaksananya Kegiatan Rakorda</t>
  </si>
  <si>
    <t>Terselenggaranya Kegiatan Rakorda</t>
  </si>
  <si>
    <t xml:space="preserve"> Kegiatan HAKTEKNAS</t>
  </si>
  <si>
    <t>Terlaksananya Kegiatan HAKTEKNAS</t>
  </si>
  <si>
    <t>Terselenggaranya  Kegiatan HAKTEKNAS</t>
  </si>
  <si>
    <t>Kegiatan Tim Dewan Riset Daerah</t>
  </si>
  <si>
    <t>Terlaksananya Dewan Riset daerah</t>
  </si>
  <si>
    <t>Terselenggaranya Dewan Riset daerah</t>
  </si>
  <si>
    <t>Kegiatan Jaringan Penelitian</t>
  </si>
  <si>
    <t>Terlaksananya Kegiatan Jaringan Penelitian</t>
  </si>
  <si>
    <t>Terselenggaranya Kegiatan Jaringan Penelitian</t>
  </si>
  <si>
    <t>Kegiatan Sistem Inovasi Daerah ( SIDA)</t>
  </si>
  <si>
    <t>Terlaksananya  Kegiatan Sistem Inovasi Daerah ( SIDA)</t>
  </si>
  <si>
    <t>Terselenggaranya Kegiatan Sistem Inovasi Daerah ( SIDA)</t>
  </si>
  <si>
    <t>Kegiatan Penguatan Fungsi Litbang</t>
  </si>
  <si>
    <t>Terlaksananya Kegiatan Kegiatan Fungsi Litbang</t>
  </si>
  <si>
    <t>Terselenggaranya Kegiatan Kegiatan Fungsi Litbang</t>
  </si>
  <si>
    <t>V</t>
  </si>
  <si>
    <t>VI</t>
  </si>
  <si>
    <t>VII</t>
  </si>
  <si>
    <t>12 kali</t>
  </si>
  <si>
    <t>1 th</t>
  </si>
  <si>
    <t>4 kali</t>
  </si>
  <si>
    <t>30 unit</t>
  </si>
  <si>
    <t>6 jenis</t>
  </si>
  <si>
    <t>36 buah</t>
  </si>
  <si>
    <t>3 unit</t>
  </si>
  <si>
    <t>11 kali</t>
  </si>
  <si>
    <t>1 kali</t>
  </si>
  <si>
    <t>NA</t>
  </si>
  <si>
    <t>60 bln</t>
  </si>
  <si>
    <t>120 unit</t>
  </si>
  <si>
    <t>40 org</t>
  </si>
  <si>
    <t>3 kali</t>
  </si>
  <si>
    <t>35 unit</t>
  </si>
  <si>
    <t>2 unit</t>
  </si>
  <si>
    <t>1 unit</t>
  </si>
  <si>
    <t>persentase peningkatan Disiplin Aparatur</t>
  </si>
  <si>
    <t>138 stel</t>
  </si>
  <si>
    <t>80 org</t>
  </si>
  <si>
    <t>12 Dok</t>
  </si>
  <si>
    <t>1 Dok</t>
  </si>
  <si>
    <t>6 kajian</t>
  </si>
  <si>
    <t>7 kajian</t>
  </si>
  <si>
    <t>2 kajian</t>
  </si>
  <si>
    <t>kajian</t>
  </si>
  <si>
    <t>5 keg</t>
  </si>
  <si>
    <t>2 keg</t>
  </si>
  <si>
    <t>3 keg</t>
  </si>
  <si>
    <t>6 unit</t>
  </si>
  <si>
    <t>26 stel</t>
  </si>
  <si>
    <t>7 org</t>
  </si>
  <si>
    <t>1 keg</t>
  </si>
  <si>
    <t>Program peningktan kualitas data dan perencanaan</t>
  </si>
  <si>
    <t>Persentase peningkatan data dan perencanaan</t>
  </si>
  <si>
    <t>Terlaksana kajian penyusunan database potensi daerah Kabupaten Tanjung Jabung Timur</t>
  </si>
  <si>
    <t>12 bulan</t>
  </si>
  <si>
    <t>Terlaksananya Ketentuan Pakaian Dinas bagi Aparatur</t>
  </si>
  <si>
    <t>1 kajian</t>
  </si>
  <si>
    <t>15 unit</t>
  </si>
  <si>
    <t>6 org</t>
  </si>
  <si>
    <t>2 dok</t>
  </si>
  <si>
    <t>6 uni</t>
  </si>
  <si>
    <t>5 org</t>
  </si>
  <si>
    <t>15 org</t>
  </si>
  <si>
    <t>4 dok</t>
  </si>
  <si>
    <t xml:space="preserve">          Muara Sabak,        Januari 2020</t>
  </si>
  <si>
    <t>TAHUN 2020</t>
  </si>
  <si>
    <t>LAPORAN EVALUASI RENJA BALITBANGDA</t>
  </si>
  <si>
    <t>KABUPATEN TANJUNG JABUNG TIMUR</t>
  </si>
  <si>
    <t>Target Kinerja dan Anggaran RKPD Tahun 2020</t>
  </si>
  <si>
    <t>KEPALA BALITBANGDA</t>
  </si>
  <si>
    <t>ZEKKI ZULKARNAEN, S.Sos</t>
  </si>
  <si>
    <t>NIP. 19740331 200012 1 001</t>
  </si>
  <si>
    <t>Target Renstra OPD pada tahun 2021 (akhir periode Renstra)</t>
  </si>
  <si>
    <t xml:space="preserve">Realisasi Capaian Kinerja Renstra s/d Tahun Lalu (2016 s/d 2019) </t>
  </si>
  <si>
    <t>SEMESTER II TAHUN 2020</t>
  </si>
  <si>
    <t>Realisasi Kinerja Semester</t>
  </si>
  <si>
    <t>Realisasi Capaian Kinerja dan Anggaran RKPD Tahun 2020</t>
  </si>
  <si>
    <t>Tingkat Capaian Kinerja dan Realisasi Anggaran Renstra s/d Tahun 2020 (%)</t>
  </si>
  <si>
    <t>Realisasi Kinerja dan Anggaran Renstra s/d Akhir Tahun 2020</t>
  </si>
  <si>
    <t>jenis</t>
  </si>
  <si>
    <t>buah</t>
  </si>
  <si>
    <t>1 thn</t>
  </si>
  <si>
    <t>1 org</t>
  </si>
  <si>
    <t>10 dok</t>
  </si>
  <si>
    <t>Tersedianya Keselarasan Pembangunan</t>
  </si>
  <si>
    <t>ZEKKI ZULKARNAEN,S.Sos</t>
  </si>
  <si>
    <t>NIP. 19740331 200012 1001</t>
  </si>
  <si>
    <t xml:space="preserve">         Muara Sabak,        Juni  2020</t>
  </si>
  <si>
    <t xml:space="preserve">        Muara Sabak,        Maret 2020</t>
  </si>
  <si>
    <t>Pembayaran Makanan dan Minuman Rapat/Tamu</t>
  </si>
  <si>
    <t xml:space="preserve">Faktor Penghambat : </t>
  </si>
  <si>
    <t xml:space="preserve">         Muara Sabak,        Desember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</si>
</sst>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64" formatCode="_(* #,##0_);_(* \(#,##0\);_(* &quot;-&quot;??_);_(@_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?_-;_-@_-"/>
    <numFmt numFmtId="168" formatCode="_(* #,##0.00_);_(* \(#,##0.00\);_(* &quot;-&quot;_);_(@_)"/>
    <numFmt numFmtId="169" formatCode="0.0"/>
    <numFmt numFmtId="170" formatCode="_-* #,##0.00_-;\-* #,##0.00_-;_-* &quot;-&quot;_-;_-@_-"/>
    <numFmt numFmtId="171" formatCode="_(* #,##0.0_);_(* \(#,##0.0\);_(* &quot;-&quot;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u val="singleAccounting"/>
      <sz val="8"/>
      <color theme="1"/>
      <name val="Arial Narrow"/>
      <family val="2"/>
    </font>
    <font>
      <b/>
      <sz val="18"/>
      <color rgb="FF000000"/>
      <name val="Tahoma"/>
      <family val="2"/>
    </font>
    <font>
      <sz val="11"/>
      <color rgb="FF000000"/>
      <name val="Tahoma"/>
      <family val="2"/>
    </font>
    <font>
      <sz val="18"/>
      <color rgb="FF000000"/>
      <name val="Tahoma"/>
      <family val="2"/>
    </font>
    <font>
      <b/>
      <i/>
      <sz val="8"/>
      <color theme="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i/>
      <sz val="12"/>
      <name val="Arial Narrow"/>
      <family val="2"/>
    </font>
    <font>
      <sz val="10"/>
      <color rgb="FF000000"/>
      <name val="Times New Roman"/>
      <family val="1"/>
    </font>
    <font>
      <sz val="10"/>
      <name val="Arial Narrow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8" fillId="0" borderId="0"/>
    <xf numFmtId="0" fontId="1" fillId="0" borderId="0"/>
  </cellStyleXfs>
  <cellXfs count="831">
    <xf numFmtId="0" fontId="0" fillId="0" borderId="0" xfId="0"/>
    <xf numFmtId="0" fontId="5" fillId="0" borderId="0" xfId="3" applyFont="1"/>
    <xf numFmtId="0" fontId="5" fillId="0" borderId="6" xfId="3" applyFont="1" applyBorder="1" applyAlignment="1">
      <alignment horizontal="center" vertical="center"/>
    </xf>
    <xf numFmtId="164" fontId="5" fillId="0" borderId="6" xfId="3" applyNumberFormat="1" applyFont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justify" vertical="top"/>
    </xf>
    <xf numFmtId="165" fontId="5" fillId="0" borderId="0" xfId="4" applyFont="1"/>
    <xf numFmtId="165" fontId="12" fillId="0" borderId="0" xfId="4" applyFont="1" applyAlignment="1">
      <alignment horizontal="left" vertical="center"/>
    </xf>
    <xf numFmtId="165" fontId="13" fillId="0" borderId="0" xfId="4" applyFont="1" applyAlignment="1">
      <alignment horizontal="center" vertical="center"/>
    </xf>
    <xf numFmtId="165" fontId="11" fillId="0" borderId="0" xfId="4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43" xfId="3" applyFont="1" applyBorder="1" applyAlignment="1">
      <alignment horizontal="center" vertical="center"/>
    </xf>
    <xf numFmtId="0" fontId="5" fillId="0" borderId="59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60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8" fillId="4" borderId="28" xfId="0" applyFont="1" applyFill="1" applyBorder="1" applyAlignment="1">
      <alignment horizontal="center" vertical="top"/>
    </xf>
    <xf numFmtId="0" fontId="9" fillId="4" borderId="30" xfId="0" applyFont="1" applyFill="1" applyBorder="1" applyAlignment="1">
      <alignment horizontal="center" vertical="top"/>
    </xf>
    <xf numFmtId="0" fontId="8" fillId="4" borderId="30" xfId="5" applyNumberFormat="1" applyFont="1" applyFill="1" applyBorder="1" applyAlignment="1">
      <alignment horizontal="justify" vertical="top"/>
    </xf>
    <xf numFmtId="164" fontId="7" fillId="4" borderId="30" xfId="6" applyNumberFormat="1" applyFont="1" applyFill="1" applyBorder="1" applyAlignment="1">
      <alignment horizontal="right" vertical="center"/>
    </xf>
    <xf numFmtId="0" fontId="7" fillId="4" borderId="31" xfId="3" applyFont="1" applyFill="1" applyBorder="1" applyAlignment="1">
      <alignment horizontal="left" vertical="center"/>
    </xf>
    <xf numFmtId="164" fontId="7" fillId="4" borderId="30" xfId="6" applyNumberFormat="1" applyFont="1" applyFill="1" applyBorder="1" applyAlignment="1">
      <alignment horizontal="center" vertical="center"/>
    </xf>
    <xf numFmtId="166" fontId="7" fillId="4" borderId="30" xfId="6" applyFont="1" applyFill="1" applyBorder="1" applyAlignment="1">
      <alignment horizontal="right" vertical="center"/>
    </xf>
    <xf numFmtId="1" fontId="7" fillId="4" borderId="30" xfId="6" applyNumberFormat="1" applyFont="1" applyFill="1" applyBorder="1" applyAlignment="1">
      <alignment horizontal="center" vertical="center"/>
    </xf>
    <xf numFmtId="41" fontId="7" fillId="4" borderId="30" xfId="1" applyFont="1" applyFill="1" applyBorder="1" applyAlignment="1">
      <alignment horizontal="center" vertical="center"/>
    </xf>
    <xf numFmtId="164" fontId="7" fillId="4" borderId="45" xfId="6" applyNumberFormat="1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/>
    </xf>
    <xf numFmtId="0" fontId="9" fillId="6" borderId="38" xfId="0" applyFont="1" applyFill="1" applyBorder="1" applyAlignment="1">
      <alignment horizontal="center" vertical="top"/>
    </xf>
    <xf numFmtId="0" fontId="9" fillId="6" borderId="38" xfId="5" applyNumberFormat="1" applyFont="1" applyFill="1" applyBorder="1" applyAlignment="1">
      <alignment horizontal="justify" vertical="top"/>
    </xf>
    <xf numFmtId="0" fontId="9" fillId="6" borderId="38" xfId="0" applyFont="1" applyFill="1" applyBorder="1" applyAlignment="1">
      <alignment horizontal="justify" vertical="top"/>
    </xf>
    <xf numFmtId="1" fontId="9" fillId="6" borderId="38" xfId="0" applyNumberFormat="1" applyFont="1" applyFill="1" applyBorder="1" applyAlignment="1">
      <alignment horizontal="right" vertical="top"/>
    </xf>
    <xf numFmtId="2" fontId="9" fillId="6" borderId="38" xfId="0" applyNumberFormat="1" applyFont="1" applyFill="1" applyBorder="1" applyAlignment="1">
      <alignment horizontal="left" vertical="top"/>
    </xf>
    <xf numFmtId="165" fontId="9" fillId="6" borderId="38" xfId="5" applyNumberFormat="1" applyFont="1" applyFill="1" applyBorder="1" applyAlignment="1">
      <alignment horizontal="right" vertical="top"/>
    </xf>
    <xf numFmtId="0" fontId="9" fillId="6" borderId="38" xfId="5" applyNumberFormat="1" applyFont="1" applyFill="1" applyBorder="1" applyAlignment="1">
      <alignment horizontal="center" vertical="top"/>
    </xf>
    <xf numFmtId="165" fontId="9" fillId="6" borderId="38" xfId="5" applyFont="1" applyFill="1" applyBorder="1" applyAlignment="1">
      <alignment horizontal="right" vertical="top"/>
    </xf>
    <xf numFmtId="1" fontId="9" fillId="6" borderId="38" xfId="5" applyNumberFormat="1" applyFont="1" applyFill="1" applyBorder="1" applyAlignment="1">
      <alignment horizontal="center" vertical="center"/>
    </xf>
    <xf numFmtId="1" fontId="9" fillId="6" borderId="38" xfId="5" applyNumberFormat="1" applyFont="1" applyFill="1" applyBorder="1" applyAlignment="1">
      <alignment horizontal="center" vertical="top"/>
    </xf>
    <xf numFmtId="41" fontId="9" fillId="6" borderId="38" xfId="1" applyFont="1" applyFill="1" applyBorder="1" applyAlignment="1">
      <alignment horizontal="right" vertical="top"/>
    </xf>
    <xf numFmtId="167" fontId="9" fillId="0" borderId="38" xfId="0" applyNumberFormat="1" applyFont="1" applyBorder="1" applyAlignment="1">
      <alignment horizontal="center" vertical="center"/>
    </xf>
    <xf numFmtId="165" fontId="9" fillId="6" borderId="38" xfId="0" applyNumberFormat="1" applyFont="1" applyFill="1" applyBorder="1" applyAlignment="1">
      <alignment horizontal="right" vertical="top"/>
    </xf>
    <xf numFmtId="165" fontId="9" fillId="6" borderId="38" xfId="0" applyNumberFormat="1" applyFont="1" applyFill="1" applyBorder="1" applyAlignment="1">
      <alignment horizontal="center" vertical="top"/>
    </xf>
    <xf numFmtId="1" fontId="9" fillId="6" borderId="38" xfId="0" applyNumberFormat="1" applyFont="1" applyFill="1" applyBorder="1" applyAlignment="1">
      <alignment horizontal="center" vertical="top"/>
    </xf>
    <xf numFmtId="0" fontId="9" fillId="6" borderId="36" xfId="0" applyFont="1" applyFill="1" applyBorder="1"/>
    <xf numFmtId="0" fontId="9" fillId="6" borderId="38" xfId="0" applyFont="1" applyFill="1" applyBorder="1" applyAlignment="1">
      <alignment horizontal="left" vertical="top"/>
    </xf>
    <xf numFmtId="0" fontId="9" fillId="6" borderId="50" xfId="0" applyFont="1" applyFill="1" applyBorder="1"/>
    <xf numFmtId="0" fontId="9" fillId="6" borderId="51" xfId="5" applyNumberFormat="1" applyFont="1" applyFill="1" applyBorder="1" applyAlignment="1">
      <alignment horizontal="justify" vertical="top"/>
    </xf>
    <xf numFmtId="0" fontId="9" fillId="6" borderId="51" xfId="0" applyFont="1" applyFill="1" applyBorder="1" applyAlignment="1">
      <alignment horizontal="justify" vertical="top"/>
    </xf>
    <xf numFmtId="1" fontId="9" fillId="6" borderId="51" xfId="0" applyNumberFormat="1" applyFont="1" applyFill="1" applyBorder="1" applyAlignment="1">
      <alignment horizontal="right" vertical="top"/>
    </xf>
    <xf numFmtId="2" fontId="9" fillId="6" borderId="51" xfId="0" applyNumberFormat="1" applyFont="1" applyFill="1" applyBorder="1" applyAlignment="1">
      <alignment horizontal="left" vertical="top"/>
    </xf>
    <xf numFmtId="165" fontId="9" fillId="6" borderId="51" xfId="5" applyNumberFormat="1" applyFont="1" applyFill="1" applyBorder="1" applyAlignment="1">
      <alignment horizontal="right" vertical="top"/>
    </xf>
    <xf numFmtId="0" fontId="9" fillId="6" borderId="51" xfId="5" applyNumberFormat="1" applyFont="1" applyFill="1" applyBorder="1" applyAlignment="1">
      <alignment horizontal="center" vertical="top"/>
    </xf>
    <xf numFmtId="165" fontId="9" fillId="6" borderId="51" xfId="5" applyFont="1" applyFill="1" applyBorder="1" applyAlignment="1">
      <alignment horizontal="right" vertical="top"/>
    </xf>
    <xf numFmtId="165" fontId="9" fillId="6" borderId="40" xfId="5" applyFont="1" applyFill="1" applyBorder="1" applyAlignment="1">
      <alignment horizontal="right" vertical="top"/>
    </xf>
    <xf numFmtId="167" fontId="9" fillId="0" borderId="51" xfId="0" applyNumberFormat="1" applyFont="1" applyBorder="1" applyAlignment="1">
      <alignment horizontal="center" vertical="center"/>
    </xf>
    <xf numFmtId="1" fontId="9" fillId="6" borderId="51" xfId="5" applyNumberFormat="1" applyFont="1" applyFill="1" applyBorder="1" applyAlignment="1">
      <alignment horizontal="center" vertical="top"/>
    </xf>
    <xf numFmtId="165" fontId="9" fillId="6" borderId="51" xfId="0" applyNumberFormat="1" applyFont="1" applyFill="1" applyBorder="1" applyAlignment="1">
      <alignment horizontal="right" vertical="top"/>
    </xf>
    <xf numFmtId="165" fontId="9" fillId="6" borderId="51" xfId="0" applyNumberFormat="1" applyFont="1" applyFill="1" applyBorder="1" applyAlignment="1">
      <alignment horizontal="center" vertical="top"/>
    </xf>
    <xf numFmtId="1" fontId="9" fillId="6" borderId="51" xfId="0" applyNumberFormat="1" applyFont="1" applyFill="1" applyBorder="1" applyAlignment="1">
      <alignment horizontal="center" vertical="top"/>
    </xf>
    <xf numFmtId="1" fontId="9" fillId="6" borderId="51" xfId="5" applyNumberFormat="1" applyFont="1" applyFill="1" applyBorder="1" applyAlignment="1">
      <alignment horizontal="center" vertical="center"/>
    </xf>
    <xf numFmtId="41" fontId="9" fillId="6" borderId="51" xfId="1" applyFont="1" applyFill="1" applyBorder="1" applyAlignment="1">
      <alignment horizontal="right" vertical="top"/>
    </xf>
    <xf numFmtId="41" fontId="9" fillId="6" borderId="40" xfId="1" applyFont="1" applyFill="1" applyBorder="1" applyAlignment="1">
      <alignment horizontal="right" vertical="top"/>
    </xf>
    <xf numFmtId="164" fontId="8" fillId="5" borderId="4" xfId="3" applyNumberFormat="1" applyFont="1" applyFill="1" applyBorder="1" applyAlignment="1">
      <alignment horizontal="right"/>
    </xf>
    <xf numFmtId="166" fontId="8" fillId="5" borderId="4" xfId="3" applyNumberFormat="1" applyFont="1" applyFill="1" applyBorder="1" applyAlignment="1">
      <alignment horizontal="right"/>
    </xf>
    <xf numFmtId="1" fontId="8" fillId="5" borderId="4" xfId="3" applyNumberFormat="1" applyFont="1" applyFill="1" applyBorder="1" applyAlignment="1">
      <alignment horizontal="center" vertical="center"/>
    </xf>
    <xf numFmtId="1" fontId="8" fillId="5" borderId="4" xfId="3" applyNumberFormat="1" applyFont="1" applyFill="1" applyBorder="1" applyAlignment="1">
      <alignment horizontal="right"/>
    </xf>
    <xf numFmtId="1" fontId="8" fillId="5" borderId="4" xfId="3" applyNumberFormat="1" applyFont="1" applyFill="1" applyBorder="1" applyAlignment="1">
      <alignment horizontal="center"/>
    </xf>
    <xf numFmtId="0" fontId="8" fillId="5" borderId="4" xfId="3" applyFont="1" applyFill="1" applyBorder="1" applyAlignment="1"/>
    <xf numFmtId="164" fontId="8" fillId="5" borderId="4" xfId="3" applyNumberFormat="1" applyFont="1" applyFill="1" applyBorder="1" applyAlignment="1"/>
    <xf numFmtId="0" fontId="8" fillId="5" borderId="1" xfId="3" applyFont="1" applyFill="1" applyBorder="1" applyAlignment="1">
      <alignment vertical="center"/>
    </xf>
    <xf numFmtId="0" fontId="8" fillId="5" borderId="4" xfId="3" applyFont="1" applyFill="1" applyBorder="1" applyAlignment="1">
      <alignment horizontal="center"/>
    </xf>
    <xf numFmtId="0" fontId="8" fillId="5" borderId="4" xfId="3" applyFont="1" applyFill="1" applyBorder="1" applyAlignment="1">
      <alignment horizontal="center" vertical="center"/>
    </xf>
    <xf numFmtId="1" fontId="8" fillId="4" borderId="30" xfId="0" applyNumberFormat="1" applyFont="1" applyFill="1" applyBorder="1" applyAlignment="1">
      <alignment horizontal="right" vertical="top"/>
    </xf>
    <xf numFmtId="2" fontId="8" fillId="4" borderId="30" xfId="0" applyNumberFormat="1" applyFont="1" applyFill="1" applyBorder="1" applyAlignment="1">
      <alignment horizontal="left" vertical="top"/>
    </xf>
    <xf numFmtId="165" fontId="8" fillId="4" borderId="30" xfId="5" applyNumberFormat="1" applyFont="1" applyFill="1" applyBorder="1" applyAlignment="1">
      <alignment horizontal="right" vertical="top"/>
    </xf>
    <xf numFmtId="1" fontId="8" fillId="3" borderId="30" xfId="0" applyNumberFormat="1" applyFont="1" applyFill="1" applyBorder="1" applyAlignment="1">
      <alignment horizontal="right" vertical="top"/>
    </xf>
    <xf numFmtId="165" fontId="8" fillId="3" borderId="30" xfId="5" applyNumberFormat="1" applyFont="1" applyFill="1" applyBorder="1" applyAlignment="1">
      <alignment horizontal="right" vertical="top"/>
    </xf>
    <xf numFmtId="1" fontId="8" fillId="3" borderId="30" xfId="0" applyNumberFormat="1" applyFont="1" applyFill="1" applyBorder="1" applyAlignment="1">
      <alignment horizontal="center" vertical="top"/>
    </xf>
    <xf numFmtId="1" fontId="8" fillId="3" borderId="30" xfId="0" applyNumberFormat="1" applyFont="1" applyFill="1" applyBorder="1" applyAlignment="1">
      <alignment horizontal="center" vertical="center"/>
    </xf>
    <xf numFmtId="41" fontId="8" fillId="3" borderId="30" xfId="1" applyFont="1" applyFill="1" applyBorder="1" applyAlignment="1">
      <alignment horizontal="right" vertical="top"/>
    </xf>
    <xf numFmtId="165" fontId="8" fillId="3" borderId="30" xfId="5" applyNumberFormat="1" applyFont="1" applyFill="1" applyBorder="1" applyAlignment="1">
      <alignment horizontal="center" vertical="center"/>
    </xf>
    <xf numFmtId="1" fontId="8" fillId="3" borderId="30" xfId="5" applyNumberFormat="1" applyFont="1" applyFill="1" applyBorder="1" applyAlignment="1">
      <alignment horizontal="center" vertical="top"/>
    </xf>
    <xf numFmtId="165" fontId="9" fillId="3" borderId="30" xfId="0" applyNumberFormat="1" applyFont="1" applyFill="1" applyBorder="1" applyAlignment="1">
      <alignment horizontal="center" vertical="top"/>
    </xf>
    <xf numFmtId="2" fontId="9" fillId="3" borderId="30" xfId="0" applyNumberFormat="1" applyFont="1" applyFill="1" applyBorder="1" applyAlignment="1">
      <alignment horizontal="center" vertical="top"/>
    </xf>
    <xf numFmtId="0" fontId="8" fillId="3" borderId="45" xfId="0" applyFont="1" applyFill="1" applyBorder="1" applyAlignment="1">
      <alignment horizontal="center" vertical="top"/>
    </xf>
    <xf numFmtId="0" fontId="9" fillId="6" borderId="38" xfId="0" applyFont="1" applyFill="1" applyBorder="1" applyAlignment="1">
      <alignment horizontal="left" vertical="top" wrapText="1"/>
    </xf>
    <xf numFmtId="168" fontId="9" fillId="6" borderId="38" xfId="5" applyNumberFormat="1" applyFont="1" applyFill="1" applyBorder="1" applyAlignment="1">
      <alignment horizontal="right" vertical="top"/>
    </xf>
    <xf numFmtId="165" fontId="9" fillId="6" borderId="38" xfId="5" applyFont="1" applyFill="1" applyBorder="1" applyAlignment="1">
      <alignment horizontal="center" vertical="top"/>
    </xf>
    <xf numFmtId="1" fontId="9" fillId="6" borderId="38" xfId="0" applyNumberFormat="1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left" vertical="top" wrapText="1"/>
    </xf>
    <xf numFmtId="0" fontId="9" fillId="6" borderId="40" xfId="5" applyNumberFormat="1" applyFont="1" applyFill="1" applyBorder="1" applyAlignment="1">
      <alignment horizontal="center" vertical="top"/>
    </xf>
    <xf numFmtId="168" fontId="9" fillId="6" borderId="51" xfId="5" applyNumberFormat="1" applyFont="1" applyFill="1" applyBorder="1" applyAlignment="1">
      <alignment horizontal="right" vertical="top"/>
    </xf>
    <xf numFmtId="165" fontId="9" fillId="6" borderId="51" xfId="5" applyFont="1" applyFill="1" applyBorder="1" applyAlignment="1">
      <alignment horizontal="center" vertical="top"/>
    </xf>
    <xf numFmtId="165" fontId="9" fillId="6" borderId="40" xfId="0" applyNumberFormat="1" applyFont="1" applyFill="1" applyBorder="1" applyAlignment="1">
      <alignment horizontal="right" vertical="top"/>
    </xf>
    <xf numFmtId="164" fontId="8" fillId="5" borderId="4" xfId="3" applyNumberFormat="1" applyFont="1" applyFill="1" applyBorder="1" applyAlignment="1">
      <alignment horizontal="center" vertical="center"/>
    </xf>
    <xf numFmtId="164" fontId="8" fillId="5" borderId="4" xfId="3" applyNumberFormat="1" applyFont="1" applyFill="1" applyBorder="1" applyAlignment="1">
      <alignment horizontal="center"/>
    </xf>
    <xf numFmtId="0" fontId="8" fillId="4" borderId="30" xfId="0" applyFont="1" applyFill="1" applyBorder="1" applyAlignment="1">
      <alignment horizontal="left" vertical="top" wrapText="1"/>
    </xf>
    <xf numFmtId="0" fontId="7" fillId="4" borderId="30" xfId="3" applyFont="1" applyFill="1" applyBorder="1" applyAlignment="1">
      <alignment horizontal="left" vertical="center"/>
    </xf>
    <xf numFmtId="165" fontId="9" fillId="4" borderId="30" xfId="0" applyNumberFormat="1" applyFont="1" applyFill="1" applyBorder="1" applyAlignment="1">
      <alignment horizontal="center" vertical="top"/>
    </xf>
    <xf numFmtId="2" fontId="9" fillId="4" borderId="30" xfId="0" applyNumberFormat="1" applyFont="1" applyFill="1" applyBorder="1" applyAlignment="1">
      <alignment horizontal="center" vertical="top"/>
    </xf>
    <xf numFmtId="0" fontId="8" fillId="4" borderId="45" xfId="0" applyFont="1" applyFill="1" applyBorder="1" applyAlignment="1">
      <alignment horizontal="center" vertical="top"/>
    </xf>
    <xf numFmtId="0" fontId="9" fillId="6" borderId="51" xfId="0" applyFont="1" applyFill="1" applyBorder="1" applyAlignment="1">
      <alignment horizontal="center" vertical="top"/>
    </xf>
    <xf numFmtId="1" fontId="9" fillId="6" borderId="51" xfId="5" applyNumberFormat="1" applyFont="1" applyFill="1" applyBorder="1" applyAlignment="1">
      <alignment horizontal="right" vertical="top"/>
    </xf>
    <xf numFmtId="0" fontId="9" fillId="6" borderId="51" xfId="0" applyNumberFormat="1" applyFont="1" applyFill="1" applyBorder="1" applyAlignment="1">
      <alignment horizontal="center" vertical="top"/>
    </xf>
    <xf numFmtId="1" fontId="9" fillId="6" borderId="51" xfId="0" applyNumberFormat="1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top" wrapText="1"/>
    </xf>
    <xf numFmtId="166" fontId="8" fillId="5" borderId="4" xfId="3" applyNumberFormat="1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left" wrapText="1"/>
    </xf>
    <xf numFmtId="0" fontId="9" fillId="6" borderId="38" xfId="0" applyNumberFormat="1" applyFont="1" applyFill="1" applyBorder="1" applyAlignment="1">
      <alignment horizontal="center" vertical="top"/>
    </xf>
    <xf numFmtId="167" fontId="9" fillId="0" borderId="0" xfId="0" applyNumberFormat="1" applyFont="1" applyBorder="1" applyAlignment="1">
      <alignment horizontal="center" vertical="center"/>
    </xf>
    <xf numFmtId="0" fontId="9" fillId="6" borderId="51" xfId="0" applyFont="1" applyFill="1" applyBorder="1" applyAlignment="1">
      <alignment horizontal="left" wrapText="1"/>
    </xf>
    <xf numFmtId="1" fontId="8" fillId="5" borderId="24" xfId="3" applyNumberFormat="1" applyFont="1" applyFill="1" applyBorder="1" applyAlignment="1">
      <alignment horizontal="right"/>
    </xf>
    <xf numFmtId="0" fontId="8" fillId="5" borderId="24" xfId="3" applyFont="1" applyFill="1" applyBorder="1" applyAlignment="1"/>
    <xf numFmtId="164" fontId="8" fillId="5" borderId="24" xfId="3" applyNumberFormat="1" applyFont="1" applyFill="1" applyBorder="1" applyAlignment="1"/>
    <xf numFmtId="0" fontId="8" fillId="4" borderId="2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8" fillId="4" borderId="30" xfId="5" applyNumberFormat="1" applyFont="1" applyFill="1" applyBorder="1" applyAlignment="1">
      <alignment horizontal="justify" vertical="center"/>
    </xf>
    <xf numFmtId="0" fontId="8" fillId="4" borderId="30" xfId="0" applyFont="1" applyFill="1" applyBorder="1" applyAlignment="1">
      <alignment horizontal="justify" vertical="center"/>
    </xf>
    <xf numFmtId="166" fontId="7" fillId="4" borderId="30" xfId="6" applyFont="1" applyFill="1" applyBorder="1" applyAlignment="1">
      <alignment horizontal="center" vertical="center"/>
    </xf>
    <xf numFmtId="165" fontId="9" fillId="4" borderId="30" xfId="0" applyNumberFormat="1" applyFont="1" applyFill="1" applyBorder="1" applyAlignment="1">
      <alignment horizontal="center" vertical="center"/>
    </xf>
    <xf numFmtId="2" fontId="9" fillId="4" borderId="30" xfId="0" applyNumberFormat="1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8" fillId="4" borderId="34" xfId="5" applyNumberFormat="1" applyFont="1" applyFill="1" applyBorder="1" applyAlignment="1">
      <alignment horizontal="justify" vertical="center"/>
    </xf>
    <xf numFmtId="0" fontId="8" fillId="4" borderId="34" xfId="0" applyFont="1" applyFill="1" applyBorder="1" applyAlignment="1">
      <alignment horizontal="justify" vertical="center"/>
    </xf>
    <xf numFmtId="166" fontId="7" fillId="4" borderId="34" xfId="6" applyFont="1" applyFill="1" applyBorder="1" applyAlignment="1">
      <alignment horizontal="right" vertical="center"/>
    </xf>
    <xf numFmtId="0" fontId="7" fillId="4" borderId="34" xfId="3" applyFont="1" applyFill="1" applyBorder="1" applyAlignment="1">
      <alignment horizontal="left" vertical="center"/>
    </xf>
    <xf numFmtId="164" fontId="7" fillId="4" borderId="34" xfId="6" applyNumberFormat="1" applyFont="1" applyFill="1" applyBorder="1" applyAlignment="1">
      <alignment horizontal="center" vertical="center"/>
    </xf>
    <xf numFmtId="166" fontId="7" fillId="4" borderId="34" xfId="6" applyFont="1" applyFill="1" applyBorder="1" applyAlignment="1">
      <alignment horizontal="center" vertical="center"/>
    </xf>
    <xf numFmtId="1" fontId="7" fillId="4" borderId="34" xfId="6" applyNumberFormat="1" applyFont="1" applyFill="1" applyBorder="1" applyAlignment="1">
      <alignment horizontal="center" vertical="center"/>
    </xf>
    <xf numFmtId="41" fontId="7" fillId="4" borderId="34" xfId="1" applyFont="1" applyFill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2" fontId="9" fillId="4" borderId="34" xfId="0" applyNumberFormat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8" xfId="5" applyNumberFormat="1" applyFont="1" applyFill="1" applyBorder="1" applyAlignment="1">
      <alignment horizontal="justify" vertical="center"/>
    </xf>
    <xf numFmtId="0" fontId="9" fillId="6" borderId="38" xfId="0" applyFont="1" applyFill="1" applyBorder="1" applyAlignment="1">
      <alignment horizontal="left" vertical="center" wrapText="1"/>
    </xf>
    <xf numFmtId="1" fontId="9" fillId="6" borderId="38" xfId="0" applyNumberFormat="1" applyFont="1" applyFill="1" applyBorder="1" applyAlignment="1">
      <alignment horizontal="right" vertical="center"/>
    </xf>
    <xf numFmtId="2" fontId="9" fillId="6" borderId="38" xfId="0" applyNumberFormat="1" applyFont="1" applyFill="1" applyBorder="1" applyAlignment="1">
      <alignment horizontal="left" vertical="center"/>
    </xf>
    <xf numFmtId="165" fontId="9" fillId="6" borderId="38" xfId="5" applyNumberFormat="1" applyFont="1" applyFill="1" applyBorder="1" applyAlignment="1">
      <alignment horizontal="right" vertical="center"/>
    </xf>
    <xf numFmtId="0" fontId="9" fillId="6" borderId="38" xfId="5" applyNumberFormat="1" applyFont="1" applyFill="1" applyBorder="1" applyAlignment="1">
      <alignment horizontal="center" vertical="center"/>
    </xf>
    <xf numFmtId="165" fontId="9" fillId="6" borderId="38" xfId="5" applyFont="1" applyFill="1" applyBorder="1" applyAlignment="1">
      <alignment horizontal="right" vertical="center"/>
    </xf>
    <xf numFmtId="0" fontId="9" fillId="6" borderId="38" xfId="0" applyNumberFormat="1" applyFont="1" applyFill="1" applyBorder="1" applyAlignment="1">
      <alignment horizontal="center" vertical="center"/>
    </xf>
    <xf numFmtId="165" fontId="9" fillId="6" borderId="38" xfId="5" applyFont="1" applyFill="1" applyBorder="1" applyAlignment="1">
      <alignment horizontal="center" vertical="center"/>
    </xf>
    <xf numFmtId="41" fontId="9" fillId="6" borderId="38" xfId="1" applyFont="1" applyFill="1" applyBorder="1" applyAlignment="1">
      <alignment horizontal="right" vertical="center"/>
    </xf>
    <xf numFmtId="0" fontId="9" fillId="6" borderId="38" xfId="0" applyFont="1" applyFill="1" applyBorder="1" applyAlignment="1">
      <alignment horizontal="right" vertical="center"/>
    </xf>
    <xf numFmtId="165" fontId="9" fillId="6" borderId="38" xfId="0" applyNumberFormat="1" applyFont="1" applyFill="1" applyBorder="1" applyAlignment="1">
      <alignment horizontal="right" vertical="center"/>
    </xf>
    <xf numFmtId="165" fontId="9" fillId="6" borderId="38" xfId="0" applyNumberFormat="1" applyFont="1" applyFill="1" applyBorder="1" applyAlignment="1">
      <alignment horizontal="center" vertical="center"/>
    </xf>
    <xf numFmtId="2" fontId="9" fillId="6" borderId="38" xfId="0" applyNumberFormat="1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vertical="center"/>
    </xf>
    <xf numFmtId="0" fontId="9" fillId="6" borderId="51" xfId="5" applyNumberFormat="1" applyFont="1" applyFill="1" applyBorder="1" applyAlignment="1">
      <alignment horizontal="justify" vertical="center"/>
    </xf>
    <xf numFmtId="0" fontId="9" fillId="6" borderId="51" xfId="0" applyFont="1" applyFill="1" applyBorder="1" applyAlignment="1">
      <alignment horizontal="justify" vertical="center"/>
    </xf>
    <xf numFmtId="1" fontId="9" fillId="6" borderId="51" xfId="0" applyNumberFormat="1" applyFont="1" applyFill="1" applyBorder="1" applyAlignment="1">
      <alignment horizontal="right" vertical="center"/>
    </xf>
    <xf numFmtId="2" fontId="9" fillId="6" borderId="51" xfId="0" applyNumberFormat="1" applyFont="1" applyFill="1" applyBorder="1" applyAlignment="1">
      <alignment horizontal="left" vertical="center"/>
    </xf>
    <xf numFmtId="165" fontId="9" fillId="6" borderId="51" xfId="5" applyNumberFormat="1" applyFont="1" applyFill="1" applyBorder="1" applyAlignment="1">
      <alignment horizontal="right" vertical="center"/>
    </xf>
    <xf numFmtId="0" fontId="9" fillId="6" borderId="51" xfId="5" applyNumberFormat="1" applyFont="1" applyFill="1" applyBorder="1" applyAlignment="1">
      <alignment horizontal="center" vertical="center"/>
    </xf>
    <xf numFmtId="165" fontId="9" fillId="6" borderId="51" xfId="5" applyFont="1" applyFill="1" applyBorder="1" applyAlignment="1">
      <alignment horizontal="right" vertical="center"/>
    </xf>
    <xf numFmtId="0" fontId="9" fillId="6" borderId="51" xfId="0" applyNumberFormat="1" applyFont="1" applyFill="1" applyBorder="1" applyAlignment="1">
      <alignment horizontal="center" vertical="center"/>
    </xf>
    <xf numFmtId="165" fontId="9" fillId="6" borderId="51" xfId="5" applyFont="1" applyFill="1" applyBorder="1" applyAlignment="1">
      <alignment horizontal="center" vertical="center"/>
    </xf>
    <xf numFmtId="41" fontId="9" fillId="6" borderId="51" xfId="1" applyFont="1" applyFill="1" applyBorder="1" applyAlignment="1">
      <alignment horizontal="right" vertical="center"/>
    </xf>
    <xf numFmtId="0" fontId="9" fillId="6" borderId="51" xfId="0" applyFont="1" applyFill="1" applyBorder="1" applyAlignment="1">
      <alignment horizontal="right" vertical="center"/>
    </xf>
    <xf numFmtId="165" fontId="9" fillId="6" borderId="51" xfId="0" applyNumberFormat="1" applyFont="1" applyFill="1" applyBorder="1" applyAlignment="1">
      <alignment horizontal="right" vertical="center"/>
    </xf>
    <xf numFmtId="165" fontId="9" fillId="6" borderId="51" xfId="0" applyNumberFormat="1" applyFont="1" applyFill="1" applyBorder="1" applyAlignment="1">
      <alignment horizontal="center" vertical="center"/>
    </xf>
    <xf numFmtId="2" fontId="9" fillId="6" borderId="51" xfId="0" applyNumberFormat="1" applyFont="1" applyFill="1" applyBorder="1" applyAlignment="1">
      <alignment horizontal="center" vertical="center"/>
    </xf>
    <xf numFmtId="164" fontId="8" fillId="5" borderId="24" xfId="3" applyNumberFormat="1" applyFont="1" applyFill="1" applyBorder="1" applyAlignment="1">
      <alignment horizontal="right"/>
    </xf>
    <xf numFmtId="164" fontId="7" fillId="4" borderId="30" xfId="1" applyNumberFormat="1" applyFont="1" applyFill="1" applyBorder="1" applyAlignment="1">
      <alignment horizontal="center" vertical="center"/>
    </xf>
    <xf numFmtId="165" fontId="8" fillId="6" borderId="38" xfId="5" applyNumberFormat="1" applyFont="1" applyFill="1" applyBorder="1" applyAlignment="1">
      <alignment horizontal="right" vertical="top"/>
    </xf>
    <xf numFmtId="0" fontId="9" fillId="6" borderId="38" xfId="0" applyFont="1" applyFill="1" applyBorder="1" applyAlignment="1">
      <alignment horizontal="right" vertical="top"/>
    </xf>
    <xf numFmtId="0" fontId="5" fillId="0" borderId="0" xfId="3" applyFont="1" applyFill="1"/>
    <xf numFmtId="1" fontId="8" fillId="4" borderId="30" xfId="0" applyNumberFormat="1" applyFont="1" applyFill="1" applyBorder="1" applyAlignment="1">
      <alignment horizontal="center" vertical="center"/>
    </xf>
    <xf numFmtId="1" fontId="8" fillId="4" borderId="30" xfId="0" applyNumberFormat="1" applyFont="1" applyFill="1" applyBorder="1" applyAlignment="1">
      <alignment horizontal="center" vertical="top"/>
    </xf>
    <xf numFmtId="41" fontId="8" fillId="4" borderId="30" xfId="1" applyFont="1" applyFill="1" applyBorder="1" applyAlignment="1">
      <alignment horizontal="right" vertical="top"/>
    </xf>
    <xf numFmtId="165" fontId="8" fillId="4" borderId="30" xfId="5" applyNumberFormat="1" applyFont="1" applyFill="1" applyBorder="1" applyAlignment="1">
      <alignment horizontal="center" vertical="center"/>
    </xf>
    <xf numFmtId="1" fontId="8" fillId="4" borderId="30" xfId="5" applyNumberFormat="1" applyFont="1" applyFill="1" applyBorder="1" applyAlignment="1">
      <alignment horizontal="center" vertical="top"/>
    </xf>
    <xf numFmtId="0" fontId="8" fillId="4" borderId="33" xfId="0" applyFont="1" applyFill="1" applyBorder="1" applyAlignment="1">
      <alignment horizontal="center" vertical="top"/>
    </xf>
    <xf numFmtId="0" fontId="9" fillId="4" borderId="34" xfId="0" applyFont="1" applyFill="1" applyBorder="1" applyAlignment="1">
      <alignment horizontal="center" vertical="top"/>
    </xf>
    <xf numFmtId="0" fontId="8" fillId="4" borderId="34" xfId="5" applyNumberFormat="1" applyFont="1" applyFill="1" applyBorder="1" applyAlignment="1">
      <alignment horizontal="justify" vertical="top"/>
    </xf>
    <xf numFmtId="0" fontId="8" fillId="4" borderId="34" xfId="0" applyFont="1" applyFill="1" applyBorder="1" applyAlignment="1">
      <alignment horizontal="justify" vertical="top"/>
    </xf>
    <xf numFmtId="1" fontId="8" fillId="4" borderId="34" xfId="0" applyNumberFormat="1" applyFont="1" applyFill="1" applyBorder="1" applyAlignment="1">
      <alignment horizontal="right" vertical="top"/>
    </xf>
    <xf numFmtId="2" fontId="8" fillId="4" borderId="34" xfId="0" applyNumberFormat="1" applyFont="1" applyFill="1" applyBorder="1" applyAlignment="1">
      <alignment horizontal="left" vertical="top"/>
    </xf>
    <xf numFmtId="165" fontId="8" fillId="4" borderId="34" xfId="5" applyNumberFormat="1" applyFont="1" applyFill="1" applyBorder="1" applyAlignment="1">
      <alignment horizontal="right" vertical="top"/>
    </xf>
    <xf numFmtId="2" fontId="8" fillId="4" borderId="34" xfId="0" applyNumberFormat="1" applyFont="1" applyFill="1" applyBorder="1" applyAlignment="1">
      <alignment horizontal="right" vertical="top"/>
    </xf>
    <xf numFmtId="1" fontId="8" fillId="4" borderId="34" xfId="0" applyNumberFormat="1" applyFont="1" applyFill="1" applyBorder="1" applyAlignment="1">
      <alignment horizontal="center" vertical="top"/>
    </xf>
    <xf numFmtId="1" fontId="8" fillId="4" borderId="34" xfId="0" applyNumberFormat="1" applyFont="1" applyFill="1" applyBorder="1" applyAlignment="1">
      <alignment horizontal="center" vertical="center"/>
    </xf>
    <xf numFmtId="41" fontId="8" fillId="4" borderId="34" xfId="1" applyFont="1" applyFill="1" applyBorder="1" applyAlignment="1">
      <alignment horizontal="right" vertical="top"/>
    </xf>
    <xf numFmtId="165" fontId="8" fillId="4" borderId="34" xfId="5" applyNumberFormat="1" applyFont="1" applyFill="1" applyBorder="1" applyAlignment="1">
      <alignment horizontal="center" vertical="center"/>
    </xf>
    <xf numFmtId="1" fontId="8" fillId="4" borderId="34" xfId="5" applyNumberFormat="1" applyFont="1" applyFill="1" applyBorder="1" applyAlignment="1">
      <alignment horizontal="center" vertical="top"/>
    </xf>
    <xf numFmtId="165" fontId="9" fillId="4" borderId="34" xfId="0" applyNumberFormat="1" applyFont="1" applyFill="1" applyBorder="1" applyAlignment="1">
      <alignment horizontal="center" vertical="top"/>
    </xf>
    <xf numFmtId="2" fontId="9" fillId="4" borderId="34" xfId="0" applyNumberFormat="1" applyFont="1" applyFill="1" applyBorder="1" applyAlignment="1">
      <alignment horizontal="center" vertical="top"/>
    </xf>
    <xf numFmtId="0" fontId="8" fillId="4" borderId="47" xfId="0" applyFont="1" applyFill="1" applyBorder="1" applyAlignment="1">
      <alignment horizontal="center" vertical="top"/>
    </xf>
    <xf numFmtId="0" fontId="9" fillId="6" borderId="38" xfId="5" applyNumberFormat="1" applyFont="1" applyFill="1" applyBorder="1" applyAlignment="1">
      <alignment horizontal="left" vertical="top" wrapText="1"/>
    </xf>
    <xf numFmtId="0" fontId="9" fillId="6" borderId="48" xfId="0" applyFont="1" applyFill="1" applyBorder="1" applyAlignment="1">
      <alignment horizontal="center" vertical="top"/>
    </xf>
    <xf numFmtId="0" fontId="9" fillId="6" borderId="51" xfId="5" applyNumberFormat="1" applyFont="1" applyFill="1" applyBorder="1" applyAlignment="1">
      <alignment horizontal="left" vertical="top" wrapText="1"/>
    </xf>
    <xf numFmtId="0" fontId="9" fillId="6" borderId="51" xfId="0" applyFont="1" applyFill="1" applyBorder="1" applyAlignment="1">
      <alignment horizontal="right" vertical="top"/>
    </xf>
    <xf numFmtId="0" fontId="9" fillId="6" borderId="51" xfId="0" applyFont="1" applyFill="1" applyBorder="1" applyAlignment="1">
      <alignment horizontal="left" vertical="top"/>
    </xf>
    <xf numFmtId="169" fontId="8" fillId="5" borderId="24" xfId="3" applyNumberFormat="1" applyFont="1" applyFill="1" applyBorder="1" applyAlignment="1"/>
    <xf numFmtId="0" fontId="8" fillId="4" borderId="4" xfId="0" applyFont="1" applyFill="1" applyBorder="1" applyAlignment="1">
      <alignment horizontal="justify" vertical="top"/>
    </xf>
    <xf numFmtId="0" fontId="8" fillId="4" borderId="6" xfId="0" applyFont="1" applyFill="1" applyBorder="1" applyAlignment="1">
      <alignment horizontal="justify" vertical="top"/>
    </xf>
    <xf numFmtId="2" fontId="8" fillId="4" borderId="31" xfId="0" applyNumberFormat="1" applyFont="1" applyFill="1" applyBorder="1" applyAlignment="1">
      <alignment horizontal="left" vertical="top"/>
    </xf>
    <xf numFmtId="165" fontId="8" fillId="4" borderId="6" xfId="5" applyNumberFormat="1" applyFont="1" applyFill="1" applyBorder="1" applyAlignment="1">
      <alignment horizontal="right" vertical="top"/>
    </xf>
    <xf numFmtId="165" fontId="9" fillId="4" borderId="4" xfId="0" applyNumberFormat="1" applyFont="1" applyFill="1" applyBorder="1" applyAlignment="1">
      <alignment horizontal="center" vertical="top"/>
    </xf>
    <xf numFmtId="2" fontId="9" fillId="4" borderId="4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vertical="top" wrapText="1"/>
    </xf>
    <xf numFmtId="2" fontId="9" fillId="4" borderId="4" xfId="0" applyNumberFormat="1" applyFont="1" applyFill="1" applyBorder="1" applyAlignment="1">
      <alignment horizontal="right" vertical="top"/>
    </xf>
    <xf numFmtId="0" fontId="9" fillId="4" borderId="42" xfId="5" applyNumberFormat="1" applyFont="1" applyFill="1" applyBorder="1" applyAlignment="1">
      <alignment vertical="top"/>
    </xf>
    <xf numFmtId="165" fontId="9" fillId="4" borderId="4" xfId="5" applyNumberFormat="1" applyFont="1" applyFill="1" applyBorder="1" applyAlignment="1">
      <alignment horizontal="right" vertical="top"/>
    </xf>
    <xf numFmtId="0" fontId="9" fillId="4" borderId="4" xfId="5" applyNumberFormat="1" applyFont="1" applyFill="1" applyBorder="1" applyAlignment="1">
      <alignment horizontal="center" vertical="top"/>
    </xf>
    <xf numFmtId="165" fontId="9" fillId="4" borderId="4" xfId="5" applyFont="1" applyFill="1" applyBorder="1" applyAlignment="1">
      <alignment horizontal="right" vertical="top"/>
    </xf>
    <xf numFmtId="170" fontId="9" fillId="4" borderId="4" xfId="1" applyNumberFormat="1" applyFont="1" applyFill="1" applyBorder="1" applyAlignment="1">
      <alignment horizontal="center" vertical="top"/>
    </xf>
    <xf numFmtId="165" fontId="8" fillId="4" borderId="4" xfId="5" applyNumberFormat="1" applyFont="1" applyFill="1" applyBorder="1" applyAlignment="1">
      <alignment horizontal="right" vertical="top"/>
    </xf>
    <xf numFmtId="0" fontId="9" fillId="4" borderId="4" xfId="5" applyNumberFormat="1" applyFont="1" applyFill="1" applyBorder="1" applyAlignment="1">
      <alignment horizontal="right" vertical="top"/>
    </xf>
    <xf numFmtId="1" fontId="9" fillId="4" borderId="4" xfId="0" applyNumberFormat="1" applyFont="1" applyFill="1" applyBorder="1" applyAlignment="1">
      <alignment horizontal="center" vertical="center"/>
    </xf>
    <xf numFmtId="1" fontId="9" fillId="4" borderId="4" xfId="5" applyNumberFormat="1" applyFont="1" applyFill="1" applyBorder="1" applyAlignment="1">
      <alignment horizontal="center" vertical="top"/>
    </xf>
    <xf numFmtId="41" fontId="9" fillId="4" borderId="4" xfId="1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2" fontId="9" fillId="4" borderId="4" xfId="5" applyNumberFormat="1" applyFont="1" applyFill="1" applyBorder="1" applyAlignment="1">
      <alignment horizontal="center" vertical="top"/>
    </xf>
    <xf numFmtId="10" fontId="9" fillId="4" borderId="4" xfId="2" applyNumberFormat="1" applyFont="1" applyFill="1" applyBorder="1" applyAlignment="1">
      <alignment horizontal="center" vertical="top"/>
    </xf>
    <xf numFmtId="9" fontId="9" fillId="4" borderId="4" xfId="2" applyNumberFormat="1" applyFont="1" applyFill="1" applyBorder="1" applyAlignment="1">
      <alignment horizontal="center" vertical="top"/>
    </xf>
    <xf numFmtId="1" fontId="9" fillId="4" borderId="4" xfId="0" applyNumberFormat="1" applyFont="1" applyFill="1" applyBorder="1" applyAlignment="1">
      <alignment horizontal="right" vertical="top"/>
    </xf>
    <xf numFmtId="165" fontId="9" fillId="4" borderId="4" xfId="5" applyFont="1" applyFill="1" applyBorder="1" applyAlignment="1">
      <alignment horizontal="center" vertical="top"/>
    </xf>
    <xf numFmtId="9" fontId="9" fillId="4" borderId="4" xfId="0" applyNumberFormat="1" applyFont="1" applyFill="1" applyBorder="1" applyAlignment="1">
      <alignment horizontal="center" vertical="top"/>
    </xf>
    <xf numFmtId="10" fontId="9" fillId="4" borderId="4" xfId="0" applyNumberFormat="1" applyFont="1" applyFill="1" applyBorder="1" applyAlignment="1">
      <alignment horizontal="center" vertical="top"/>
    </xf>
    <xf numFmtId="0" fontId="9" fillId="0" borderId="28" xfId="0" applyFont="1" applyFill="1" applyBorder="1"/>
    <xf numFmtId="0" fontId="9" fillId="0" borderId="30" xfId="0" applyFont="1" applyFill="1" applyBorder="1" applyAlignment="1">
      <alignment horizontal="center" vertical="top"/>
    </xf>
    <xf numFmtId="0" fontId="9" fillId="0" borderId="30" xfId="5" applyNumberFormat="1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right" vertical="top"/>
    </xf>
    <xf numFmtId="0" fontId="9" fillId="0" borderId="30" xfId="0" applyFont="1" applyFill="1" applyBorder="1" applyAlignment="1">
      <alignment horizontal="left" vertical="top"/>
    </xf>
    <xf numFmtId="165" fontId="9" fillId="0" borderId="30" xfId="5" applyNumberFormat="1" applyFont="1" applyFill="1" applyBorder="1" applyAlignment="1">
      <alignment horizontal="right" vertical="top"/>
    </xf>
    <xf numFmtId="0" fontId="9" fillId="0" borderId="30" xfId="5" applyNumberFormat="1" applyFont="1" applyFill="1" applyBorder="1" applyAlignment="1">
      <alignment horizontal="center" vertical="top"/>
    </xf>
    <xf numFmtId="165" fontId="9" fillId="0" borderId="30" xfId="5" applyFont="1" applyFill="1" applyBorder="1" applyAlignment="1">
      <alignment horizontal="right" vertical="top"/>
    </xf>
    <xf numFmtId="165" fontId="9" fillId="0" borderId="30" xfId="5" applyFont="1" applyFill="1" applyBorder="1" applyAlignment="1">
      <alignment horizontal="center" vertical="top"/>
    </xf>
    <xf numFmtId="1" fontId="9" fillId="0" borderId="38" xfId="5" applyNumberFormat="1" applyFont="1" applyFill="1" applyBorder="1" applyAlignment="1">
      <alignment horizontal="center" vertical="center"/>
    </xf>
    <xf numFmtId="1" fontId="9" fillId="0" borderId="30" xfId="5" applyNumberFormat="1" applyFont="1" applyFill="1" applyBorder="1" applyAlignment="1">
      <alignment horizontal="center" vertical="top"/>
    </xf>
    <xf numFmtId="41" fontId="9" fillId="0" borderId="30" xfId="1" applyFont="1" applyFill="1" applyBorder="1" applyAlignment="1">
      <alignment horizontal="right" vertical="top"/>
    </xf>
    <xf numFmtId="167" fontId="9" fillId="0" borderId="30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top"/>
    </xf>
    <xf numFmtId="165" fontId="9" fillId="0" borderId="30" xfId="0" applyNumberFormat="1" applyFont="1" applyFill="1" applyBorder="1" applyAlignment="1">
      <alignment horizontal="right" vertical="top"/>
    </xf>
    <xf numFmtId="165" fontId="9" fillId="0" borderId="30" xfId="0" applyNumberFormat="1" applyFont="1" applyFill="1" applyBorder="1" applyAlignment="1">
      <alignment horizontal="center" vertical="top"/>
    </xf>
    <xf numFmtId="0" fontId="9" fillId="0" borderId="36" xfId="0" applyFont="1" applyFill="1" applyBorder="1"/>
    <xf numFmtId="0" fontId="9" fillId="0" borderId="38" xfId="0" applyFont="1" applyFill="1" applyBorder="1" applyAlignment="1">
      <alignment horizontal="center" vertical="top"/>
    </xf>
    <xf numFmtId="0" fontId="9" fillId="0" borderId="38" xfId="5" applyNumberFormat="1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right" vertical="top"/>
    </xf>
    <xf numFmtId="0" fontId="9" fillId="0" borderId="38" xfId="0" applyFont="1" applyFill="1" applyBorder="1" applyAlignment="1">
      <alignment horizontal="left" vertical="top"/>
    </xf>
    <xf numFmtId="165" fontId="9" fillId="0" borderId="38" xfId="5" applyNumberFormat="1" applyFont="1" applyFill="1" applyBorder="1" applyAlignment="1">
      <alignment horizontal="right" vertical="top"/>
    </xf>
    <xf numFmtId="0" fontId="9" fillId="0" borderId="38" xfId="5" applyNumberFormat="1" applyFont="1" applyFill="1" applyBorder="1" applyAlignment="1">
      <alignment horizontal="center" vertical="top"/>
    </xf>
    <xf numFmtId="165" fontId="9" fillId="0" borderId="38" xfId="5" applyFont="1" applyFill="1" applyBorder="1" applyAlignment="1">
      <alignment horizontal="right" vertical="top"/>
    </xf>
    <xf numFmtId="165" fontId="9" fillId="0" borderId="38" xfId="5" applyFont="1" applyFill="1" applyBorder="1" applyAlignment="1">
      <alignment horizontal="center" vertical="top"/>
    </xf>
    <xf numFmtId="1" fontId="9" fillId="0" borderId="38" xfId="5" applyNumberFormat="1" applyFont="1" applyFill="1" applyBorder="1" applyAlignment="1">
      <alignment horizontal="center" vertical="top"/>
    </xf>
    <xf numFmtId="41" fontId="9" fillId="0" borderId="38" xfId="1" applyFont="1" applyFill="1" applyBorder="1" applyAlignment="1">
      <alignment horizontal="right" vertical="top"/>
    </xf>
    <xf numFmtId="167" fontId="9" fillId="0" borderId="38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top"/>
    </xf>
    <xf numFmtId="165" fontId="9" fillId="0" borderId="38" xfId="0" applyNumberFormat="1" applyFont="1" applyFill="1" applyBorder="1" applyAlignment="1">
      <alignment horizontal="right" vertical="top"/>
    </xf>
    <xf numFmtId="165" fontId="9" fillId="0" borderId="38" xfId="0" applyNumberFormat="1" applyFont="1" applyFill="1" applyBorder="1" applyAlignment="1">
      <alignment horizontal="center" vertical="top"/>
    </xf>
    <xf numFmtId="165" fontId="9" fillId="0" borderId="38" xfId="5" applyFont="1" applyFill="1" applyBorder="1" applyAlignment="1">
      <alignment vertical="center"/>
    </xf>
    <xf numFmtId="0" fontId="9" fillId="0" borderId="38" xfId="5" applyNumberFormat="1" applyFont="1" applyFill="1" applyBorder="1" applyAlignment="1">
      <alignment horizontal="center" vertical="top" wrapText="1"/>
    </xf>
    <xf numFmtId="1" fontId="9" fillId="0" borderId="38" xfId="0" applyNumberFormat="1" applyFont="1" applyFill="1" applyBorder="1" applyAlignment="1">
      <alignment horizontal="right" vertical="top"/>
    </xf>
    <xf numFmtId="2" fontId="9" fillId="0" borderId="38" xfId="0" applyNumberFormat="1" applyFont="1" applyFill="1" applyBorder="1" applyAlignment="1">
      <alignment horizontal="left" vertical="top"/>
    </xf>
    <xf numFmtId="0" fontId="9" fillId="0" borderId="38" xfId="0" applyNumberFormat="1" applyFont="1" applyFill="1" applyBorder="1" applyAlignment="1">
      <alignment horizontal="center" vertical="top"/>
    </xf>
    <xf numFmtId="165" fontId="9" fillId="0" borderId="38" xfId="5" quotePrefix="1" applyFont="1" applyFill="1" applyBorder="1" applyAlignment="1">
      <alignment horizontal="right" vertical="top"/>
    </xf>
    <xf numFmtId="0" fontId="9" fillId="0" borderId="38" xfId="0" applyNumberFormat="1" applyFont="1" applyFill="1" applyBorder="1" applyAlignment="1">
      <alignment horizontal="right" vertical="top"/>
    </xf>
    <xf numFmtId="0" fontId="9" fillId="0" borderId="50" xfId="0" applyFont="1" applyFill="1" applyBorder="1"/>
    <xf numFmtId="0" fontId="9" fillId="0" borderId="51" xfId="0" applyFont="1" applyFill="1" applyBorder="1" applyAlignment="1">
      <alignment horizontal="center" vertical="top"/>
    </xf>
    <xf numFmtId="0" fontId="9" fillId="0" borderId="51" xfId="5" applyNumberFormat="1" applyFont="1" applyFill="1" applyBorder="1" applyAlignment="1">
      <alignment horizontal="left" vertical="top" wrapText="1"/>
    </xf>
    <xf numFmtId="0" fontId="9" fillId="0" borderId="51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justify" vertical="top" wrapText="1"/>
    </xf>
    <xf numFmtId="165" fontId="8" fillId="4" borderId="30" xfId="0" applyNumberFormat="1" applyFont="1" applyFill="1" applyBorder="1" applyAlignment="1">
      <alignment horizontal="center" vertical="top"/>
    </xf>
    <xf numFmtId="2" fontId="8" fillId="4" borderId="30" xfId="0" applyNumberFormat="1" applyFont="1" applyFill="1" applyBorder="1" applyAlignment="1">
      <alignment horizontal="center" vertical="top"/>
    </xf>
    <xf numFmtId="0" fontId="9" fillId="4" borderId="45" xfId="0" applyFont="1" applyFill="1" applyBorder="1" applyAlignment="1">
      <alignment horizontal="center" vertical="top"/>
    </xf>
    <xf numFmtId="9" fontId="9" fillId="6" borderId="38" xfId="0" applyNumberFormat="1" applyFont="1" applyFill="1" applyBorder="1" applyAlignment="1">
      <alignment horizontal="left" vertical="top"/>
    </xf>
    <xf numFmtId="0" fontId="9" fillId="6" borderId="38" xfId="5" applyNumberFormat="1" applyFont="1" applyFill="1" applyBorder="1" applyAlignment="1">
      <alignment horizontal="center" vertical="top" wrapText="1"/>
    </xf>
    <xf numFmtId="0" fontId="9" fillId="6" borderId="38" xfId="5" applyNumberFormat="1" applyFont="1" applyFill="1" applyBorder="1" applyAlignment="1">
      <alignment horizontal="right" vertical="top"/>
    </xf>
    <xf numFmtId="9" fontId="9" fillId="6" borderId="51" xfId="0" applyNumberFormat="1" applyFont="1" applyFill="1" applyBorder="1" applyAlignment="1">
      <alignment horizontal="left" vertical="top"/>
    </xf>
    <xf numFmtId="0" fontId="9" fillId="6" borderId="51" xfId="5" applyNumberFormat="1" applyFont="1" applyFill="1" applyBorder="1" applyAlignment="1">
      <alignment horizontal="center" vertical="top" wrapText="1"/>
    </xf>
    <xf numFmtId="0" fontId="9" fillId="6" borderId="51" xfId="5" applyNumberFormat="1" applyFont="1" applyFill="1" applyBorder="1" applyAlignment="1">
      <alignment horizontal="right" vertical="top"/>
    </xf>
    <xf numFmtId="166" fontId="8" fillId="5" borderId="24" xfId="3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9" fillId="4" borderId="42" xfId="5" applyNumberFormat="1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center" vertical="top"/>
    </xf>
    <xf numFmtId="0" fontId="9" fillId="6" borderId="28" xfId="0" applyFont="1" applyFill="1" applyBorder="1"/>
    <xf numFmtId="0" fontId="9" fillId="6" borderId="30" xfId="0" applyFont="1" applyFill="1" applyBorder="1" applyAlignment="1">
      <alignment horizontal="center" vertical="top"/>
    </xf>
    <xf numFmtId="0" fontId="9" fillId="6" borderId="30" xfId="5" applyNumberFormat="1" applyFont="1" applyFill="1" applyBorder="1" applyAlignment="1">
      <alignment horizontal="left" vertical="top" wrapText="1"/>
    </xf>
    <xf numFmtId="0" fontId="9" fillId="6" borderId="30" xfId="0" applyFont="1" applyFill="1" applyBorder="1" applyAlignment="1">
      <alignment horizontal="left" vertical="top" wrapText="1"/>
    </xf>
    <xf numFmtId="0" fontId="9" fillId="6" borderId="30" xfId="0" applyNumberFormat="1" applyFont="1" applyFill="1" applyBorder="1" applyAlignment="1">
      <alignment horizontal="right" vertical="top"/>
    </xf>
    <xf numFmtId="2" fontId="9" fillId="6" borderId="30" xfId="0" applyNumberFormat="1" applyFont="1" applyFill="1" applyBorder="1" applyAlignment="1">
      <alignment horizontal="left" vertical="top"/>
    </xf>
    <xf numFmtId="165" fontId="9" fillId="6" borderId="30" xfId="5" applyNumberFormat="1" applyFont="1" applyFill="1" applyBorder="1" applyAlignment="1">
      <alignment horizontal="right" vertical="top"/>
    </xf>
    <xf numFmtId="0" fontId="9" fillId="6" borderId="30" xfId="5" applyNumberFormat="1" applyFont="1" applyFill="1" applyBorder="1" applyAlignment="1">
      <alignment horizontal="center" vertical="top"/>
    </xf>
    <xf numFmtId="165" fontId="9" fillId="6" borderId="30" xfId="5" applyFont="1" applyFill="1" applyBorder="1" applyAlignment="1">
      <alignment horizontal="right" vertical="top"/>
    </xf>
    <xf numFmtId="0" fontId="9" fillId="6" borderId="30" xfId="0" applyNumberFormat="1" applyFont="1" applyFill="1" applyBorder="1" applyAlignment="1">
      <alignment horizontal="center" vertical="top"/>
    </xf>
    <xf numFmtId="165" fontId="9" fillId="6" borderId="30" xfId="5" applyFont="1" applyFill="1" applyBorder="1" applyAlignment="1">
      <alignment horizontal="center" vertical="top"/>
    </xf>
    <xf numFmtId="1" fontId="9" fillId="6" borderId="30" xfId="5" applyNumberFormat="1" applyFont="1" applyFill="1" applyBorder="1" applyAlignment="1">
      <alignment horizontal="center" vertical="center"/>
    </xf>
    <xf numFmtId="1" fontId="9" fillId="6" borderId="30" xfId="5" applyNumberFormat="1" applyFont="1" applyFill="1" applyBorder="1" applyAlignment="1">
      <alignment horizontal="center" vertical="top"/>
    </xf>
    <xf numFmtId="41" fontId="9" fillId="6" borderId="30" xfId="1" applyFont="1" applyFill="1" applyBorder="1" applyAlignment="1">
      <alignment horizontal="right" vertical="top"/>
    </xf>
    <xf numFmtId="0" fontId="9" fillId="6" borderId="30" xfId="0" applyFont="1" applyFill="1" applyBorder="1" applyAlignment="1">
      <alignment horizontal="center" vertical="center"/>
    </xf>
    <xf numFmtId="1" fontId="9" fillId="6" borderId="30" xfId="0" applyNumberFormat="1" applyFont="1" applyFill="1" applyBorder="1" applyAlignment="1">
      <alignment horizontal="center" vertical="top"/>
    </xf>
    <xf numFmtId="165" fontId="9" fillId="6" borderId="30" xfId="0" applyNumberFormat="1" applyFont="1" applyFill="1" applyBorder="1" applyAlignment="1">
      <alignment horizontal="right" vertical="top"/>
    </xf>
    <xf numFmtId="165" fontId="9" fillId="6" borderId="30" xfId="0" applyNumberFormat="1" applyFont="1" applyFill="1" applyBorder="1" applyAlignment="1">
      <alignment horizontal="center" vertical="top"/>
    </xf>
    <xf numFmtId="0" fontId="9" fillId="6" borderId="38" xfId="0" applyNumberFormat="1" applyFont="1" applyFill="1" applyBorder="1" applyAlignment="1">
      <alignment horizontal="right" vertical="top"/>
    </xf>
    <xf numFmtId="165" fontId="9" fillId="6" borderId="38" xfId="5" quotePrefix="1" applyFont="1" applyFill="1" applyBorder="1" applyAlignment="1">
      <alignment horizontal="right" vertical="top"/>
    </xf>
    <xf numFmtId="1" fontId="9" fillId="6" borderId="38" xfId="0" applyNumberFormat="1" applyFont="1" applyFill="1" applyBorder="1" applyAlignment="1">
      <alignment horizontal="left" vertical="top"/>
    </xf>
    <xf numFmtId="41" fontId="9" fillId="6" borderId="55" xfId="1" applyFont="1" applyFill="1" applyBorder="1"/>
    <xf numFmtId="0" fontId="9" fillId="6" borderId="48" xfId="0" applyFont="1" applyFill="1" applyBorder="1" applyAlignment="1">
      <alignment horizontal="center" vertical="center" wrapText="1"/>
    </xf>
    <xf numFmtId="1" fontId="9" fillId="6" borderId="51" xfId="0" applyNumberFormat="1" applyFont="1" applyFill="1" applyBorder="1" applyAlignment="1">
      <alignment horizontal="left" vertical="top"/>
    </xf>
    <xf numFmtId="41" fontId="9" fillId="6" borderId="62" xfId="1" applyFont="1" applyFill="1" applyBorder="1"/>
    <xf numFmtId="0" fontId="9" fillId="6" borderId="54" xfId="0" applyFont="1" applyFill="1" applyBorder="1" applyAlignment="1">
      <alignment horizontal="center" vertical="center" wrapText="1"/>
    </xf>
    <xf numFmtId="2" fontId="9" fillId="6" borderId="51" xfId="0" applyNumberFormat="1" applyFont="1" applyFill="1" applyBorder="1" applyAlignment="1">
      <alignment horizontal="center" vertical="top"/>
    </xf>
    <xf numFmtId="0" fontId="8" fillId="4" borderId="34" xfId="0" applyFont="1" applyFill="1" applyBorder="1" applyAlignment="1">
      <alignment horizontal="justify" vertical="top" wrapText="1"/>
    </xf>
    <xf numFmtId="2" fontId="8" fillId="4" borderId="35" xfId="0" applyNumberFormat="1" applyFont="1" applyFill="1" applyBorder="1" applyAlignment="1">
      <alignment horizontal="left" vertical="top"/>
    </xf>
    <xf numFmtId="2" fontId="8" fillId="4" borderId="34" xfId="0" applyNumberFormat="1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top"/>
    </xf>
    <xf numFmtId="0" fontId="9" fillId="6" borderId="51" xfId="0" applyNumberFormat="1" applyFont="1" applyFill="1" applyBorder="1" applyAlignment="1">
      <alignment horizontal="right" vertical="top"/>
    </xf>
    <xf numFmtId="165" fontId="9" fillId="0" borderId="51" xfId="5" applyNumberFormat="1" applyFont="1" applyFill="1" applyBorder="1" applyAlignment="1">
      <alignment horizontal="right" vertical="top"/>
    </xf>
    <xf numFmtId="165" fontId="8" fillId="4" borderId="34" xfId="0" applyNumberFormat="1" applyFont="1" applyFill="1" applyBorder="1" applyAlignment="1">
      <alignment horizontal="center" vertical="top"/>
    </xf>
    <xf numFmtId="0" fontId="8" fillId="0" borderId="41" xfId="3" applyFont="1" applyFill="1" applyBorder="1" applyAlignment="1">
      <alignment horizontal="left"/>
    </xf>
    <xf numFmtId="0" fontId="8" fillId="0" borderId="42" xfId="3" applyFont="1" applyFill="1" applyBorder="1" applyAlignment="1">
      <alignment horizontal="right"/>
    </xf>
    <xf numFmtId="0" fontId="9" fillId="3" borderId="4" xfId="5" applyNumberFormat="1" applyFont="1" applyFill="1" applyBorder="1" applyAlignment="1">
      <alignment horizontal="center" vertical="top"/>
    </xf>
    <xf numFmtId="165" fontId="14" fillId="6" borderId="4" xfId="5" applyNumberFormat="1" applyFont="1" applyFill="1" applyBorder="1" applyAlignment="1">
      <alignment horizontal="right" vertical="top"/>
    </xf>
    <xf numFmtId="1" fontId="9" fillId="3" borderId="4" xfId="5" applyNumberFormat="1" applyFont="1" applyFill="1" applyBorder="1" applyAlignment="1">
      <alignment horizontal="center" vertical="center"/>
    </xf>
    <xf numFmtId="1" fontId="9" fillId="3" borderId="4" xfId="5" applyNumberFormat="1" applyFont="1" applyFill="1" applyBorder="1" applyAlignment="1">
      <alignment horizontal="center" vertical="top"/>
    </xf>
    <xf numFmtId="165" fontId="9" fillId="3" borderId="4" xfId="5" applyFont="1" applyFill="1" applyBorder="1" applyAlignment="1">
      <alignment horizontal="right" vertical="top"/>
    </xf>
    <xf numFmtId="0" fontId="9" fillId="3" borderId="4" xfId="0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top"/>
    </xf>
    <xf numFmtId="165" fontId="10" fillId="6" borderId="4" xfId="5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center" vertical="top"/>
    </xf>
    <xf numFmtId="2" fontId="9" fillId="3" borderId="4" xfId="0" applyNumberFormat="1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165" fontId="8" fillId="5" borderId="4" xfId="1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/>
    </xf>
    <xf numFmtId="168" fontId="8" fillId="5" borderId="4" xfId="1" applyNumberFormat="1" applyFont="1" applyFill="1" applyBorder="1" applyAlignment="1">
      <alignment horizontal="right"/>
    </xf>
    <xf numFmtId="165" fontId="8" fillId="5" borderId="6" xfId="1" applyNumberFormat="1" applyFont="1" applyFill="1" applyBorder="1" applyAlignment="1">
      <alignment horizontal="right"/>
    </xf>
    <xf numFmtId="165" fontId="8" fillId="5" borderId="6" xfId="1" applyNumberFormat="1" applyFont="1" applyFill="1" applyBorder="1" applyAlignment="1">
      <alignment horizontal="center" vertical="center"/>
    </xf>
    <xf numFmtId="165" fontId="8" fillId="5" borderId="6" xfId="1" applyNumberFormat="1" applyFont="1" applyFill="1" applyBorder="1" applyAlignment="1">
      <alignment horizontal="center"/>
    </xf>
    <xf numFmtId="0" fontId="8" fillId="5" borderId="6" xfId="3" applyFont="1" applyFill="1" applyBorder="1" applyAlignment="1"/>
    <xf numFmtId="168" fontId="8" fillId="5" borderId="6" xfId="1" applyNumberFormat="1" applyFont="1" applyFill="1" applyBorder="1" applyAlignment="1">
      <alignment horizontal="right"/>
    </xf>
    <xf numFmtId="0" fontId="8" fillId="5" borderId="32" xfId="3" applyFont="1" applyFill="1" applyBorder="1" applyAlignment="1">
      <alignment vertical="center"/>
    </xf>
    <xf numFmtId="0" fontId="8" fillId="5" borderId="58" xfId="3" applyFont="1" applyFill="1" applyBorder="1" applyAlignment="1">
      <alignment horizontal="center"/>
    </xf>
    <xf numFmtId="1" fontId="8" fillId="5" borderId="58" xfId="3" applyNumberFormat="1" applyFont="1" applyFill="1" applyBorder="1" applyAlignment="1">
      <alignment horizontal="center" vertical="center"/>
    </xf>
    <xf numFmtId="1" fontId="8" fillId="5" borderId="58" xfId="3" applyNumberFormat="1" applyFont="1" applyFill="1" applyBorder="1" applyAlignment="1">
      <alignment horizontal="center"/>
    </xf>
    <xf numFmtId="0" fontId="8" fillId="5" borderId="58" xfId="3" applyFont="1" applyFill="1" applyBorder="1" applyAlignment="1">
      <alignment horizontal="center" vertical="center"/>
    </xf>
    <xf numFmtId="0" fontId="8" fillId="5" borderId="58" xfId="3" applyFont="1" applyFill="1" applyBorder="1" applyAlignment="1"/>
    <xf numFmtId="0" fontId="8" fillId="5" borderId="2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/>
    <xf numFmtId="0" fontId="8" fillId="0" borderId="0" xfId="3" applyFont="1" applyFill="1" applyBorder="1" applyAlignment="1">
      <alignment vertical="center"/>
    </xf>
    <xf numFmtId="0" fontId="7" fillId="0" borderId="0" xfId="3" applyFont="1"/>
    <xf numFmtId="0" fontId="8" fillId="0" borderId="0" xfId="3" applyFont="1" applyFill="1" applyBorder="1" applyAlignment="1">
      <alignment horizontal="right"/>
    </xf>
    <xf numFmtId="165" fontId="7" fillId="4" borderId="38" xfId="4" applyFont="1" applyFill="1" applyBorder="1" applyAlignment="1">
      <alignment horizontal="center" vertical="center"/>
    </xf>
    <xf numFmtId="165" fontId="7" fillId="4" borderId="38" xfId="4" applyFont="1" applyFill="1" applyBorder="1" applyAlignment="1">
      <alignment horizontal="left" vertical="center" wrapText="1"/>
    </xf>
    <xf numFmtId="165" fontId="7" fillId="4" borderId="30" xfId="4" applyFont="1" applyFill="1" applyBorder="1" applyAlignment="1">
      <alignment horizontal="center" vertical="center"/>
    </xf>
    <xf numFmtId="165" fontId="8" fillId="4" borderId="30" xfId="4" applyFont="1" applyFill="1" applyBorder="1" applyAlignment="1">
      <alignment horizontal="center" vertical="center" wrapText="1"/>
    </xf>
    <xf numFmtId="165" fontId="7" fillId="4" borderId="37" xfId="4" applyFont="1" applyFill="1" applyBorder="1" applyAlignment="1">
      <alignment horizontal="center" vertical="center"/>
    </xf>
    <xf numFmtId="165" fontId="5" fillId="0" borderId="38" xfId="4" applyFont="1" applyBorder="1" applyAlignment="1">
      <alignment horizontal="center" vertical="center"/>
    </xf>
    <xf numFmtId="165" fontId="5" fillId="0" borderId="37" xfId="4" applyFont="1" applyBorder="1" applyAlignment="1">
      <alignment horizontal="right" vertical="top"/>
    </xf>
    <xf numFmtId="165" fontId="5" fillId="0" borderId="38" xfId="4" applyFont="1" applyBorder="1" applyAlignment="1">
      <alignment horizontal="center" vertical="top"/>
    </xf>
    <xf numFmtId="165" fontId="5" fillId="0" borderId="37" xfId="4" applyFont="1" applyBorder="1" applyAlignment="1">
      <alignment horizontal="center" vertical="top"/>
    </xf>
    <xf numFmtId="165" fontId="5" fillId="0" borderId="39" xfId="4" applyFont="1" applyBorder="1" applyAlignment="1">
      <alignment horizontal="center" vertical="center"/>
    </xf>
    <xf numFmtId="165" fontId="5" fillId="0" borderId="37" xfId="4" applyFont="1" applyBorder="1" applyAlignment="1">
      <alignment horizontal="center" vertical="center"/>
    </xf>
    <xf numFmtId="165" fontId="5" fillId="0" borderId="51" xfId="4" applyFont="1" applyBorder="1" applyAlignment="1">
      <alignment horizontal="center" vertical="center"/>
    </xf>
    <xf numFmtId="165" fontId="8" fillId="5" borderId="4" xfId="4" applyFont="1" applyFill="1" applyBorder="1" applyAlignment="1">
      <alignment horizontal="right"/>
    </xf>
    <xf numFmtId="165" fontId="8" fillId="5" borderId="4" xfId="4" applyFont="1" applyFill="1" applyBorder="1" applyAlignment="1"/>
    <xf numFmtId="165" fontId="8" fillId="5" borderId="1" xfId="4" applyFont="1" applyFill="1" applyBorder="1" applyAlignment="1">
      <alignment vertical="center"/>
    </xf>
    <xf numFmtId="165" fontId="8" fillId="5" borderId="4" xfId="4" applyFont="1" applyFill="1" applyBorder="1" applyAlignment="1">
      <alignment horizontal="center"/>
    </xf>
    <xf numFmtId="165" fontId="7" fillId="4" borderId="30" xfId="4" applyFont="1" applyFill="1" applyBorder="1" applyAlignment="1">
      <alignment horizontal="left" vertical="center" wrapText="1"/>
    </xf>
    <xf numFmtId="165" fontId="5" fillId="4" borderId="32" xfId="4" applyFont="1" applyFill="1" applyBorder="1" applyAlignment="1">
      <alignment vertical="center" wrapText="1"/>
    </xf>
    <xf numFmtId="165" fontId="5" fillId="0" borderId="38" xfId="4" applyFont="1" applyBorder="1" applyAlignment="1">
      <alignment horizontal="right" vertical="top"/>
    </xf>
    <xf numFmtId="165" fontId="5" fillId="0" borderId="51" xfId="4" applyFont="1" applyBorder="1" applyAlignment="1">
      <alignment horizontal="right" vertical="top"/>
    </xf>
    <xf numFmtId="165" fontId="7" fillId="4" borderId="38" xfId="4" applyFont="1" applyFill="1" applyBorder="1" applyAlignment="1">
      <alignment vertical="top" wrapText="1"/>
    </xf>
    <xf numFmtId="165" fontId="5" fillId="4" borderId="45" xfId="4" applyFont="1" applyFill="1" applyBorder="1" applyAlignment="1">
      <alignment vertical="center" wrapText="1"/>
    </xf>
    <xf numFmtId="165" fontId="5" fillId="4" borderId="48" xfId="4" applyFont="1" applyFill="1" applyBorder="1" applyAlignment="1">
      <alignment vertical="center" wrapText="1"/>
    </xf>
    <xf numFmtId="165" fontId="8" fillId="4" borderId="30" xfId="4" quotePrefix="1" applyFont="1" applyFill="1" applyBorder="1" applyAlignment="1">
      <alignment horizontal="center" vertical="center" wrapText="1"/>
    </xf>
    <xf numFmtId="165" fontId="7" fillId="4" borderId="30" xfId="4" applyFont="1" applyFill="1" applyBorder="1" applyAlignment="1">
      <alignment vertical="center" wrapText="1"/>
    </xf>
    <xf numFmtId="165" fontId="9" fillId="0" borderId="1" xfId="4" applyFont="1" applyBorder="1" applyAlignment="1">
      <alignment vertical="center"/>
    </xf>
    <xf numFmtId="165" fontId="8" fillId="5" borderId="58" xfId="4" applyFont="1" applyFill="1" applyBorder="1" applyAlignment="1">
      <alignment horizontal="center"/>
    </xf>
    <xf numFmtId="165" fontId="8" fillId="5" borderId="58" xfId="4" applyFont="1" applyFill="1" applyBorder="1" applyAlignment="1"/>
    <xf numFmtId="165" fontId="8" fillId="5" borderId="2" xfId="4" applyFont="1" applyFill="1" applyBorder="1" applyAlignment="1">
      <alignment vertical="center"/>
    </xf>
    <xf numFmtId="165" fontId="9" fillId="0" borderId="38" xfId="4" applyFont="1" applyBorder="1" applyAlignment="1">
      <alignment horizontal="left" vertical="top" wrapText="1"/>
    </xf>
    <xf numFmtId="165" fontId="9" fillId="0" borderId="51" xfId="4" applyFont="1" applyBorder="1" applyAlignment="1">
      <alignment horizontal="left" vertical="top" wrapText="1"/>
    </xf>
    <xf numFmtId="165" fontId="8" fillId="4" borderId="30" xfId="4" applyFont="1" applyFill="1" applyBorder="1" applyAlignment="1">
      <alignment vertical="top" wrapText="1"/>
    </xf>
    <xf numFmtId="165" fontId="8" fillId="5" borderId="24" xfId="4" applyFont="1" applyFill="1" applyBorder="1" applyAlignment="1"/>
    <xf numFmtId="165" fontId="7" fillId="4" borderId="29" xfId="4" applyFont="1" applyFill="1" applyBorder="1" applyAlignment="1">
      <alignment horizontal="center" vertical="center"/>
    </xf>
    <xf numFmtId="165" fontId="5" fillId="6" borderId="38" xfId="4" applyFont="1" applyFill="1" applyBorder="1" applyAlignment="1">
      <alignment horizontal="left" vertical="center" wrapText="1"/>
    </xf>
    <xf numFmtId="165" fontId="5" fillId="6" borderId="38" xfId="4" applyFont="1" applyFill="1" applyBorder="1" applyAlignment="1">
      <alignment horizontal="right" vertical="center"/>
    </xf>
    <xf numFmtId="165" fontId="7" fillId="6" borderId="38" xfId="4" applyFont="1" applyFill="1" applyBorder="1" applyAlignment="1">
      <alignment horizontal="center" vertical="center"/>
    </xf>
    <xf numFmtId="165" fontId="5" fillId="6" borderId="38" xfId="4" applyFont="1" applyFill="1" applyBorder="1" applyAlignment="1">
      <alignment horizontal="center" vertical="center"/>
    </xf>
    <xf numFmtId="165" fontId="7" fillId="6" borderId="37" xfId="4" applyFont="1" applyFill="1" applyBorder="1" applyAlignment="1">
      <alignment horizontal="right" vertical="center"/>
    </xf>
    <xf numFmtId="165" fontId="5" fillId="0" borderId="38" xfId="4" applyFont="1" applyFill="1" applyBorder="1" applyAlignment="1">
      <alignment horizontal="left" vertical="center" wrapText="1"/>
    </xf>
    <xf numFmtId="165" fontId="5" fillId="0" borderId="38" xfId="4" applyFont="1" applyBorder="1" applyAlignment="1">
      <alignment horizontal="left" vertical="center" wrapText="1"/>
    </xf>
    <xf numFmtId="165" fontId="7" fillId="4" borderId="6" xfId="4" applyFont="1" applyFill="1" applyBorder="1" applyAlignment="1">
      <alignment horizontal="center" vertical="center"/>
    </xf>
    <xf numFmtId="165" fontId="5" fillId="0" borderId="36" xfId="4" applyFont="1" applyBorder="1" applyAlignment="1">
      <alignment vertical="center" wrapText="1"/>
    </xf>
    <xf numFmtId="165" fontId="5" fillId="6" borderId="37" xfId="4" applyFont="1" applyFill="1" applyBorder="1" applyAlignment="1">
      <alignment horizontal="center" vertical="top"/>
    </xf>
    <xf numFmtId="165" fontId="5" fillId="6" borderId="37" xfId="4" applyFont="1" applyFill="1" applyBorder="1" applyAlignment="1">
      <alignment horizontal="right" vertical="top"/>
    </xf>
    <xf numFmtId="165" fontId="10" fillId="0" borderId="0" xfId="4" applyFont="1" applyBorder="1" applyAlignment="1">
      <alignment horizontal="right"/>
    </xf>
    <xf numFmtId="165" fontId="8" fillId="4" borderId="30" xfId="4" applyFont="1" applyFill="1" applyBorder="1" applyAlignment="1">
      <alignment horizontal="center" vertical="center"/>
    </xf>
    <xf numFmtId="165" fontId="8" fillId="5" borderId="24" xfId="4" applyFont="1" applyFill="1" applyBorder="1" applyAlignment="1">
      <alignment horizontal="right"/>
    </xf>
    <xf numFmtId="165" fontId="7" fillId="4" borderId="61" xfId="4" applyFont="1" applyFill="1" applyBorder="1" applyAlignment="1">
      <alignment horizontal="center" vertical="center"/>
    </xf>
    <xf numFmtId="165" fontId="7" fillId="4" borderId="6" xfId="4" applyFont="1" applyFill="1" applyBorder="1" applyAlignment="1">
      <alignment horizontal="center" wrapText="1"/>
    </xf>
    <xf numFmtId="165" fontId="8" fillId="4" borderId="6" xfId="4" applyFont="1" applyFill="1" applyBorder="1" applyAlignment="1">
      <alignment horizontal="center" vertical="center" wrapText="1"/>
    </xf>
    <xf numFmtId="165" fontId="8" fillId="4" borderId="40" xfId="4" applyFont="1" applyFill="1" applyBorder="1" applyAlignment="1">
      <alignment horizontal="center" vertical="center"/>
    </xf>
    <xf numFmtId="165" fontId="7" fillId="4" borderId="59" xfId="4" applyFont="1" applyFill="1" applyBorder="1" applyAlignment="1">
      <alignment horizontal="center" vertical="center"/>
    </xf>
    <xf numFmtId="165" fontId="7" fillId="4" borderId="32" xfId="4" applyFont="1" applyFill="1" applyBorder="1" applyAlignment="1">
      <alignment vertical="center" wrapText="1"/>
    </xf>
    <xf numFmtId="165" fontId="5" fillId="0" borderId="36" xfId="4" applyFont="1" applyBorder="1" applyAlignment="1">
      <alignment horizontal="center" vertical="center"/>
    </xf>
    <xf numFmtId="165" fontId="5" fillId="0" borderId="37" xfId="4" applyFont="1" applyBorder="1" applyAlignment="1">
      <alignment vertical="center"/>
    </xf>
    <xf numFmtId="165" fontId="5" fillId="6" borderId="38" xfId="4" applyFont="1" applyFill="1" applyBorder="1" applyAlignment="1">
      <alignment horizontal="right" vertical="top"/>
    </xf>
    <xf numFmtId="165" fontId="5" fillId="0" borderId="48" xfId="4" applyFont="1" applyBorder="1" applyAlignment="1">
      <alignment horizontal="center" vertical="center" wrapText="1"/>
    </xf>
    <xf numFmtId="165" fontId="0" fillId="0" borderId="5" xfId="4" applyFont="1" applyBorder="1"/>
    <xf numFmtId="165" fontId="5" fillId="4" borderId="1" xfId="4" applyFont="1" applyFill="1" applyBorder="1" applyAlignment="1">
      <alignment vertical="center" wrapText="1"/>
    </xf>
    <xf numFmtId="165" fontId="5" fillId="0" borderId="51" xfId="4" applyFont="1" applyBorder="1" applyAlignment="1">
      <alignment vertical="top" wrapText="1"/>
    </xf>
    <xf numFmtId="165" fontId="5" fillId="6" borderId="51" xfId="4" applyFont="1" applyFill="1" applyBorder="1" applyAlignment="1">
      <alignment horizontal="left" vertical="center" wrapText="1"/>
    </xf>
    <xf numFmtId="165" fontId="5" fillId="0" borderId="53" xfId="4" applyFont="1" applyBorder="1" applyAlignment="1">
      <alignment horizontal="center" vertical="center"/>
    </xf>
    <xf numFmtId="165" fontId="5" fillId="0" borderId="52" xfId="4" applyFont="1" applyBorder="1" applyAlignment="1">
      <alignment horizontal="center" vertical="center"/>
    </xf>
    <xf numFmtId="165" fontId="5" fillId="0" borderId="53" xfId="4" applyFont="1" applyBorder="1" applyAlignment="1">
      <alignment horizontal="center" vertical="top"/>
    </xf>
    <xf numFmtId="165" fontId="5" fillId="0" borderId="53" xfId="4" applyFont="1" applyBorder="1" applyAlignment="1">
      <alignment horizontal="right" vertical="top"/>
    </xf>
    <xf numFmtId="165" fontId="5" fillId="6" borderId="51" xfId="4" applyFont="1" applyFill="1" applyBorder="1" applyAlignment="1">
      <alignment horizontal="right" vertical="center"/>
    </xf>
    <xf numFmtId="165" fontId="5" fillId="6" borderId="51" xfId="4" applyFont="1" applyFill="1" applyBorder="1" applyAlignment="1">
      <alignment horizontal="right" vertical="top"/>
    </xf>
    <xf numFmtId="165" fontId="9" fillId="0" borderId="51" xfId="4" applyFont="1" applyBorder="1" applyAlignment="1">
      <alignment horizontal="left" wrapText="1"/>
    </xf>
    <xf numFmtId="165" fontId="5" fillId="6" borderId="51" xfId="4" applyFont="1" applyFill="1" applyBorder="1" applyAlignment="1">
      <alignment horizontal="left" vertical="top" wrapText="1"/>
    </xf>
    <xf numFmtId="165" fontId="5" fillId="0" borderId="51" xfId="4" applyFont="1" applyBorder="1" applyAlignment="1">
      <alignment horizontal="center" vertical="top"/>
    </xf>
    <xf numFmtId="165" fontId="8" fillId="5" borderId="6" xfId="4" applyFont="1" applyFill="1" applyBorder="1" applyAlignment="1">
      <alignment horizontal="center"/>
    </xf>
    <xf numFmtId="165" fontId="8" fillId="5" borderId="6" xfId="4" applyFont="1" applyFill="1" applyBorder="1" applyAlignment="1"/>
    <xf numFmtId="165" fontId="9" fillId="0" borderId="32" xfId="4" applyFont="1" applyBorder="1" applyAlignment="1">
      <alignment vertical="center"/>
    </xf>
    <xf numFmtId="165" fontId="7" fillId="4" borderId="36" xfId="4" applyFont="1" applyFill="1" applyBorder="1" applyAlignment="1">
      <alignment horizontal="center" vertical="center"/>
    </xf>
    <xf numFmtId="165" fontId="8" fillId="4" borderId="38" xfId="4" applyFont="1" applyFill="1" applyBorder="1" applyAlignment="1">
      <alignment vertical="top" wrapText="1"/>
    </xf>
    <xf numFmtId="165" fontId="8" fillId="4" borderId="38" xfId="4" applyFont="1" applyFill="1" applyBorder="1" applyAlignment="1">
      <alignment horizontal="center" vertical="center" wrapText="1"/>
    </xf>
    <xf numFmtId="165" fontId="8" fillId="4" borderId="38" xfId="4" applyFont="1" applyFill="1" applyBorder="1" applyAlignment="1">
      <alignment horizontal="center" vertical="center"/>
    </xf>
    <xf numFmtId="165" fontId="7" fillId="6" borderId="36" xfId="4" applyFont="1" applyFill="1" applyBorder="1" applyAlignment="1">
      <alignment horizontal="center" vertical="center"/>
    </xf>
    <xf numFmtId="165" fontId="5" fillId="6" borderId="39" xfId="4" applyFont="1" applyFill="1" applyBorder="1" applyAlignment="1">
      <alignment vertical="center"/>
    </xf>
    <xf numFmtId="165" fontId="5" fillId="6" borderId="38" xfId="4" applyFont="1" applyFill="1" applyBorder="1" applyAlignment="1">
      <alignment vertical="center"/>
    </xf>
    <xf numFmtId="165" fontId="5" fillId="6" borderId="38" xfId="4" applyFont="1" applyFill="1" applyBorder="1" applyAlignment="1">
      <alignment horizontal="center" vertical="top"/>
    </xf>
    <xf numFmtId="165" fontId="7" fillId="6" borderId="38" xfId="4" applyFont="1" applyFill="1" applyBorder="1" applyAlignment="1">
      <alignment horizontal="right" vertical="center"/>
    </xf>
    <xf numFmtId="165" fontId="7" fillId="6" borderId="38" xfId="4" applyFont="1" applyFill="1" applyBorder="1" applyAlignment="1">
      <alignment horizontal="center" vertical="top"/>
    </xf>
    <xf numFmtId="165" fontId="7" fillId="6" borderId="38" xfId="4" applyFont="1" applyFill="1" applyBorder="1" applyAlignment="1">
      <alignment horizontal="right" vertical="top"/>
    </xf>
    <xf numFmtId="165" fontId="5" fillId="6" borderId="38" xfId="4" applyFont="1" applyFill="1" applyBorder="1" applyAlignment="1">
      <alignment horizontal="left" vertical="top" wrapText="1"/>
    </xf>
    <xf numFmtId="165" fontId="7" fillId="4" borderId="38" xfId="4" applyFont="1" applyFill="1" applyBorder="1" applyAlignment="1">
      <alignment vertical="center" wrapText="1"/>
    </xf>
    <xf numFmtId="165" fontId="7" fillId="4" borderId="36" xfId="4" applyFont="1" applyFill="1" applyBorder="1" applyAlignment="1">
      <alignment horizontal="center" vertical="center" wrapText="1"/>
    </xf>
    <xf numFmtId="165" fontId="5" fillId="6" borderId="36" xfId="4" applyFont="1" applyFill="1" applyBorder="1" applyAlignment="1">
      <alignment vertical="center" wrapText="1"/>
    </xf>
    <xf numFmtId="165" fontId="9" fillId="6" borderId="38" xfId="4" applyFont="1" applyFill="1" applyBorder="1" applyAlignment="1">
      <alignment horizontal="left" vertical="top" wrapText="1"/>
    </xf>
    <xf numFmtId="165" fontId="5" fillId="6" borderId="39" xfId="4" applyFont="1" applyFill="1" applyBorder="1" applyAlignment="1">
      <alignment horizontal="center" vertical="top"/>
    </xf>
    <xf numFmtId="165" fontId="9" fillId="0" borderId="48" xfId="4" applyFont="1" applyBorder="1" applyAlignment="1">
      <alignment vertical="center"/>
    </xf>
    <xf numFmtId="165" fontId="9" fillId="6" borderId="36" xfId="4" applyFont="1" applyFill="1" applyBorder="1" applyAlignment="1">
      <alignment horizontal="right"/>
    </xf>
    <xf numFmtId="165" fontId="5" fillId="6" borderId="38" xfId="4" applyFont="1" applyFill="1" applyBorder="1" applyAlignment="1">
      <alignment vertical="top" wrapText="1"/>
    </xf>
    <xf numFmtId="165" fontId="9" fillId="6" borderId="48" xfId="4" quotePrefix="1" applyFont="1" applyFill="1" applyBorder="1" applyAlignment="1">
      <alignment horizontal="center" vertical="center"/>
    </xf>
    <xf numFmtId="165" fontId="9" fillId="7" borderId="0" xfId="4" applyFont="1" applyFill="1" applyBorder="1" applyAlignment="1">
      <alignment horizontal="right"/>
    </xf>
    <xf numFmtId="165" fontId="9" fillId="0" borderId="46" xfId="4" applyFont="1" applyFill="1" applyBorder="1" applyAlignment="1"/>
    <xf numFmtId="165" fontId="9" fillId="0" borderId="17" xfId="4" applyFont="1" applyFill="1" applyBorder="1" applyAlignment="1"/>
    <xf numFmtId="165" fontId="9" fillId="0" borderId="22" xfId="4" applyFont="1" applyBorder="1" applyAlignment="1">
      <alignment vertical="center"/>
    </xf>
    <xf numFmtId="165" fontId="5" fillId="0" borderId="37" xfId="4" applyNumberFormat="1" applyFont="1" applyBorder="1" applyAlignment="1">
      <alignment horizontal="center" vertical="center"/>
    </xf>
    <xf numFmtId="165" fontId="8" fillId="4" borderId="40" xfId="4" applyNumberFormat="1" applyFont="1" applyFill="1" applyBorder="1" applyAlignment="1">
      <alignment horizontal="center" vertical="center"/>
    </xf>
    <xf numFmtId="165" fontId="5" fillId="6" borderId="5" xfId="4" applyFont="1" applyFill="1" applyBorder="1" applyAlignment="1">
      <alignment vertical="center" wrapText="1"/>
    </xf>
    <xf numFmtId="165" fontId="9" fillId="6" borderId="38" xfId="4" applyFont="1" applyFill="1" applyBorder="1" applyAlignment="1">
      <alignment vertical="top" wrapText="1"/>
    </xf>
    <xf numFmtId="165" fontId="9" fillId="6" borderId="17" xfId="4" quotePrefix="1" applyFont="1" applyFill="1" applyBorder="1" applyAlignment="1">
      <alignment horizontal="center" vertical="center" wrapText="1"/>
    </xf>
    <xf numFmtId="0" fontId="19" fillId="0" borderId="17" xfId="8" applyFont="1" applyFill="1" applyBorder="1" applyAlignment="1">
      <alignment vertical="center" wrapText="1"/>
    </xf>
    <xf numFmtId="165" fontId="9" fillId="6" borderId="17" xfId="4" quotePrefix="1" applyFont="1" applyFill="1" applyBorder="1" applyAlignment="1">
      <alignment horizontal="center" vertical="top" wrapText="1"/>
    </xf>
    <xf numFmtId="165" fontId="9" fillId="6" borderId="34" xfId="4" quotePrefix="1" applyFont="1" applyFill="1" applyBorder="1" applyAlignment="1">
      <alignment horizontal="center" vertical="top" wrapText="1"/>
    </xf>
    <xf numFmtId="165" fontId="8" fillId="4" borderId="40" xfId="4" quotePrefix="1" applyFont="1" applyFill="1" applyBorder="1" applyAlignment="1">
      <alignment horizontal="center" vertical="center" wrapText="1"/>
    </xf>
    <xf numFmtId="0" fontId="8" fillId="0" borderId="41" xfId="3" applyFont="1" applyFill="1" applyBorder="1" applyAlignment="1">
      <alignment horizontal="left"/>
    </xf>
    <xf numFmtId="0" fontId="5" fillId="0" borderId="59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60" xfId="3" applyFont="1" applyBorder="1" applyAlignment="1">
      <alignment horizontal="center" vertical="center"/>
    </xf>
    <xf numFmtId="165" fontId="11" fillId="0" borderId="0" xfId="4" applyFont="1" applyAlignment="1">
      <alignment horizontal="center" vertical="center"/>
    </xf>
    <xf numFmtId="165" fontId="5" fillId="6" borderId="51" xfId="4" applyFont="1" applyFill="1" applyBorder="1" applyAlignment="1">
      <alignment vertical="center"/>
    </xf>
    <xf numFmtId="165" fontId="5" fillId="0" borderId="52" xfId="4" applyFont="1" applyBorder="1" applyAlignment="1">
      <alignment horizontal="center" vertical="top"/>
    </xf>
    <xf numFmtId="165" fontId="0" fillId="0" borderId="0" xfId="0" applyNumberFormat="1"/>
    <xf numFmtId="165" fontId="7" fillId="6" borderId="38" xfId="4" applyFont="1" applyFill="1" applyBorder="1" applyAlignment="1">
      <alignment vertical="center"/>
    </xf>
    <xf numFmtId="165" fontId="7" fillId="4" borderId="34" xfId="4" applyFont="1" applyFill="1" applyBorder="1" applyAlignment="1">
      <alignment horizontal="left" vertical="center" wrapText="1"/>
    </xf>
    <xf numFmtId="165" fontId="8" fillId="4" borderId="34" xfId="4" applyFont="1" applyFill="1" applyBorder="1" applyAlignment="1">
      <alignment horizontal="center" vertical="center" wrapText="1"/>
    </xf>
    <xf numFmtId="165" fontId="7" fillId="4" borderId="35" xfId="4" applyFont="1" applyFill="1" applyBorder="1" applyAlignment="1">
      <alignment horizontal="center" vertical="center"/>
    </xf>
    <xf numFmtId="165" fontId="8" fillId="4" borderId="34" xfId="4" applyFont="1" applyFill="1" applyBorder="1" applyAlignment="1">
      <alignment horizontal="center" vertical="center"/>
    </xf>
    <xf numFmtId="165" fontId="8" fillId="4" borderId="66" xfId="4" applyFont="1" applyFill="1" applyBorder="1" applyAlignment="1">
      <alignment horizontal="center" vertical="center" wrapText="1"/>
    </xf>
    <xf numFmtId="165" fontId="8" fillId="4" borderId="66" xfId="4" applyFont="1" applyFill="1" applyBorder="1" applyAlignment="1">
      <alignment horizontal="center" vertical="center"/>
    </xf>
    <xf numFmtId="165" fontId="7" fillId="4" borderId="46" xfId="4" applyFont="1" applyFill="1" applyBorder="1" applyAlignment="1">
      <alignment vertical="center" wrapText="1"/>
    </xf>
    <xf numFmtId="165" fontId="8" fillId="4" borderId="46" xfId="4" applyFont="1" applyFill="1" applyBorder="1" applyAlignment="1">
      <alignment horizontal="center" vertical="center"/>
    </xf>
    <xf numFmtId="165" fontId="7" fillId="4" borderId="66" xfId="4" applyFont="1" applyFill="1" applyBorder="1" applyAlignment="1">
      <alignment vertical="center" wrapText="1"/>
    </xf>
    <xf numFmtId="165" fontId="7" fillId="4" borderId="66" xfId="4" applyFont="1" applyFill="1" applyBorder="1" applyAlignment="1">
      <alignment horizontal="center" vertical="center"/>
    </xf>
    <xf numFmtId="165" fontId="7" fillId="4" borderId="34" xfId="4" applyFont="1" applyFill="1" applyBorder="1" applyAlignment="1">
      <alignment horizontal="center" vertical="center"/>
    </xf>
    <xf numFmtId="165" fontId="5" fillId="4" borderId="47" xfId="4" applyFont="1" applyFill="1" applyBorder="1" applyAlignment="1">
      <alignment vertical="center" wrapText="1"/>
    </xf>
    <xf numFmtId="0" fontId="8" fillId="5" borderId="4" xfId="1" applyNumberFormat="1" applyFont="1" applyFill="1" applyBorder="1" applyAlignment="1">
      <alignment horizontal="right"/>
    </xf>
    <xf numFmtId="4" fontId="20" fillId="0" borderId="4" xfId="7" applyNumberFormat="1" applyFont="1" applyBorder="1" applyAlignment="1">
      <alignment horizontal="left" vertical="center" wrapText="1"/>
    </xf>
    <xf numFmtId="4" fontId="5" fillId="0" borderId="4" xfId="7" applyNumberFormat="1" applyFont="1" applyBorder="1" applyAlignment="1">
      <alignment horizontal="left" vertical="center" wrapText="1"/>
    </xf>
    <xf numFmtId="4" fontId="20" fillId="0" borderId="17" xfId="7" applyNumberFormat="1" applyFont="1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top" wrapText="1"/>
    </xf>
    <xf numFmtId="166" fontId="7" fillId="6" borderId="17" xfId="6" applyFont="1" applyFill="1" applyBorder="1" applyAlignment="1">
      <alignment horizontal="right" vertical="center"/>
    </xf>
    <xf numFmtId="164" fontId="7" fillId="6" borderId="17" xfId="6" applyNumberFormat="1" applyFont="1" applyFill="1" applyBorder="1" applyAlignment="1">
      <alignment horizontal="center" vertical="center"/>
    </xf>
    <xf numFmtId="1" fontId="7" fillId="6" borderId="17" xfId="6" applyNumberFormat="1" applyFont="1" applyFill="1" applyBorder="1" applyAlignment="1">
      <alignment horizontal="center" vertical="center"/>
    </xf>
    <xf numFmtId="41" fontId="7" fillId="6" borderId="17" xfId="1" applyFont="1" applyFill="1" applyBorder="1" applyAlignment="1">
      <alignment horizontal="center" vertical="center"/>
    </xf>
    <xf numFmtId="165" fontId="9" fillId="6" borderId="17" xfId="0" applyNumberFormat="1" applyFont="1" applyFill="1" applyBorder="1" applyAlignment="1">
      <alignment horizontal="center" vertical="top"/>
    </xf>
    <xf numFmtId="2" fontId="9" fillId="6" borderId="17" xfId="0" applyNumberFormat="1" applyFont="1" applyFill="1" applyBorder="1" applyAlignment="1">
      <alignment horizontal="center" vertical="top"/>
    </xf>
    <xf numFmtId="0" fontId="8" fillId="6" borderId="22" xfId="0" applyFont="1" applyFill="1" applyBorder="1" applyAlignment="1">
      <alignment horizontal="center" vertical="top"/>
    </xf>
    <xf numFmtId="0" fontId="9" fillId="6" borderId="40" xfId="0" applyFont="1" applyFill="1" applyBorder="1" applyAlignment="1">
      <alignment horizontal="left" vertical="top" wrapText="1"/>
    </xf>
    <xf numFmtId="1" fontId="9" fillId="6" borderId="40" xfId="0" applyNumberFormat="1" applyFont="1" applyFill="1" applyBorder="1" applyAlignment="1">
      <alignment horizontal="right" vertical="top"/>
    </xf>
    <xf numFmtId="2" fontId="9" fillId="6" borderId="40" xfId="0" applyNumberFormat="1" applyFont="1" applyFill="1" applyBorder="1" applyAlignment="1">
      <alignment horizontal="left" vertical="top"/>
    </xf>
    <xf numFmtId="165" fontId="9" fillId="6" borderId="40" xfId="5" applyNumberFormat="1" applyFont="1" applyFill="1" applyBorder="1" applyAlignment="1">
      <alignment horizontal="right" vertical="top"/>
    </xf>
    <xf numFmtId="165" fontId="9" fillId="6" borderId="40" xfId="5" applyFont="1" applyFill="1" applyBorder="1" applyAlignment="1">
      <alignment horizontal="center" vertical="top"/>
    </xf>
    <xf numFmtId="165" fontId="8" fillId="6" borderId="40" xfId="5" applyNumberFormat="1" applyFont="1" applyFill="1" applyBorder="1" applyAlignment="1">
      <alignment horizontal="right" vertical="top"/>
    </xf>
    <xf numFmtId="1" fontId="9" fillId="6" borderId="40" xfId="5" applyNumberFormat="1" applyFont="1" applyFill="1" applyBorder="1" applyAlignment="1">
      <alignment horizontal="center" vertical="center"/>
    </xf>
    <xf numFmtId="1" fontId="9" fillId="6" borderId="40" xfId="5" applyNumberFormat="1" applyFont="1" applyFill="1" applyBorder="1" applyAlignment="1">
      <alignment horizontal="center" vertical="top"/>
    </xf>
    <xf numFmtId="0" fontId="9" fillId="6" borderId="40" xfId="0" applyFont="1" applyFill="1" applyBorder="1" applyAlignment="1">
      <alignment horizontal="right" vertical="top"/>
    </xf>
    <xf numFmtId="0" fontId="9" fillId="6" borderId="40" xfId="0" applyFont="1" applyFill="1" applyBorder="1" applyAlignment="1">
      <alignment horizontal="center" vertical="center"/>
    </xf>
    <xf numFmtId="1" fontId="9" fillId="6" borderId="40" xfId="0" applyNumberFormat="1" applyFont="1" applyFill="1" applyBorder="1" applyAlignment="1">
      <alignment horizontal="center" vertical="top"/>
    </xf>
    <xf numFmtId="165" fontId="9" fillId="6" borderId="40" xfId="0" applyNumberFormat="1" applyFont="1" applyFill="1" applyBorder="1" applyAlignment="1">
      <alignment horizontal="center" vertical="top"/>
    </xf>
    <xf numFmtId="4" fontId="20" fillId="0" borderId="6" xfId="7" applyNumberFormat="1" applyFont="1" applyBorder="1" applyAlignment="1">
      <alignment horizontal="left" vertical="center" wrapText="1"/>
    </xf>
    <xf numFmtId="4" fontId="5" fillId="0" borderId="6" xfId="7" applyNumberFormat="1" applyFont="1" applyBorder="1" applyAlignment="1">
      <alignment horizontal="left" vertical="top" wrapText="1"/>
    </xf>
    <xf numFmtId="4" fontId="5" fillId="0" borderId="4" xfId="7" applyNumberFormat="1" applyFont="1" applyBorder="1" applyAlignment="1">
      <alignment horizontal="left" vertical="top" wrapText="1"/>
    </xf>
    <xf numFmtId="4" fontId="5" fillId="0" borderId="4" xfId="7" applyNumberFormat="1" applyFont="1" applyBorder="1" applyAlignment="1">
      <alignment vertical="center" wrapText="1"/>
    </xf>
    <xf numFmtId="0" fontId="9" fillId="4" borderId="24" xfId="0" applyFont="1" applyFill="1" applyBorder="1" applyAlignment="1">
      <alignment vertical="top" wrapText="1"/>
    </xf>
    <xf numFmtId="165" fontId="8" fillId="4" borderId="59" xfId="4" quotePrefix="1" applyFont="1" applyFill="1" applyBorder="1" applyAlignment="1">
      <alignment vertical="center" wrapText="1"/>
    </xf>
    <xf numFmtId="165" fontId="8" fillId="6" borderId="46" xfId="4" quotePrefix="1" applyFont="1" applyFill="1" applyBorder="1" applyAlignment="1">
      <alignment vertical="center" wrapText="1"/>
    </xf>
    <xf numFmtId="0" fontId="8" fillId="4" borderId="31" xfId="5" applyNumberFormat="1" applyFont="1" applyFill="1" applyBorder="1" applyAlignment="1">
      <alignment horizontal="justify" vertical="top"/>
    </xf>
    <xf numFmtId="0" fontId="9" fillId="6" borderId="39" xfId="5" applyNumberFormat="1" applyFont="1" applyFill="1" applyBorder="1" applyAlignment="1">
      <alignment horizontal="justify" vertical="top"/>
    </xf>
    <xf numFmtId="165" fontId="8" fillId="6" borderId="17" xfId="4" quotePrefix="1" applyFont="1" applyFill="1" applyBorder="1" applyAlignment="1">
      <alignment vertical="center" wrapText="1"/>
    </xf>
    <xf numFmtId="4" fontId="20" fillId="0" borderId="21" xfId="7" applyNumberFormat="1" applyFont="1" applyBorder="1" applyAlignment="1">
      <alignment horizontal="left" vertical="center" wrapText="1"/>
    </xf>
    <xf numFmtId="0" fontId="8" fillId="6" borderId="28" xfId="0" applyFont="1" applyFill="1" applyBorder="1" applyAlignment="1">
      <alignment horizontal="center" vertical="center"/>
    </xf>
    <xf numFmtId="0" fontId="9" fillId="6" borderId="52" xfId="5" applyNumberFormat="1" applyFont="1" applyFill="1" applyBorder="1" applyAlignment="1">
      <alignment horizontal="justify" vertical="top"/>
    </xf>
    <xf numFmtId="0" fontId="8" fillId="4" borderId="31" xfId="5" applyNumberFormat="1" applyFont="1" applyFill="1" applyBorder="1" applyAlignment="1">
      <alignment horizontal="justify" vertical="center"/>
    </xf>
    <xf numFmtId="0" fontId="8" fillId="6" borderId="68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8" fillId="6" borderId="41" xfId="3" applyFont="1" applyFill="1" applyBorder="1" applyAlignment="1">
      <alignment horizontal="center" vertical="center"/>
    </xf>
    <xf numFmtId="0" fontId="9" fillId="6" borderId="69" xfId="0" applyFont="1" applyFill="1" applyBorder="1" applyAlignment="1">
      <alignment horizontal="center" vertical="center"/>
    </xf>
    <xf numFmtId="0" fontId="8" fillId="6" borderId="70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/>
    </xf>
    <xf numFmtId="0" fontId="9" fillId="6" borderId="72" xfId="0" applyFont="1" applyFill="1" applyBorder="1" applyAlignment="1">
      <alignment horizontal="center" vertical="center"/>
    </xf>
    <xf numFmtId="0" fontId="8" fillId="6" borderId="4" xfId="3" applyFont="1" applyFill="1" applyBorder="1" applyAlignment="1">
      <alignment horizontal="center" vertical="center"/>
    </xf>
    <xf numFmtId="0" fontId="8" fillId="6" borderId="67" xfId="3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165" fontId="9" fillId="6" borderId="38" xfId="5" applyNumberFormat="1" applyFont="1" applyFill="1" applyBorder="1" applyAlignment="1">
      <alignment horizontal="center" vertical="top"/>
    </xf>
    <xf numFmtId="169" fontId="9" fillId="6" borderId="38" xfId="5" applyNumberFormat="1" applyFont="1" applyFill="1" applyBorder="1" applyAlignment="1">
      <alignment horizontal="center" vertical="top"/>
    </xf>
    <xf numFmtId="0" fontId="9" fillId="6" borderId="22" xfId="0" applyFont="1" applyFill="1" applyBorder="1" applyAlignment="1">
      <alignment horizontal="center" vertical="top"/>
    </xf>
    <xf numFmtId="0" fontId="9" fillId="6" borderId="34" xfId="0" applyFont="1" applyFill="1" applyBorder="1" applyAlignment="1">
      <alignment horizontal="justify" vertical="top" wrapText="1"/>
    </xf>
    <xf numFmtId="2" fontId="9" fillId="6" borderId="34" xfId="0" applyNumberFormat="1" applyFont="1" applyFill="1" applyBorder="1" applyAlignment="1">
      <alignment horizontal="right" vertical="top"/>
    </xf>
    <xf numFmtId="2" fontId="9" fillId="6" borderId="35" xfId="0" applyNumberFormat="1" applyFont="1" applyFill="1" applyBorder="1" applyAlignment="1">
      <alignment horizontal="left" vertical="top"/>
    </xf>
    <xf numFmtId="165" fontId="9" fillId="6" borderId="34" xfId="5" applyNumberFormat="1" applyFont="1" applyFill="1" applyBorder="1" applyAlignment="1">
      <alignment horizontal="right" vertical="top"/>
    </xf>
    <xf numFmtId="2" fontId="9" fillId="6" borderId="34" xfId="0" applyNumberFormat="1" applyFont="1" applyFill="1" applyBorder="1" applyAlignment="1">
      <alignment horizontal="center" vertical="top"/>
    </xf>
    <xf numFmtId="1" fontId="9" fillId="6" borderId="34" xfId="0" applyNumberFormat="1" applyFont="1" applyFill="1" applyBorder="1" applyAlignment="1">
      <alignment horizontal="right" vertical="top"/>
    </xf>
    <xf numFmtId="1" fontId="9" fillId="6" borderId="34" xfId="0" applyNumberFormat="1" applyFont="1" applyFill="1" applyBorder="1" applyAlignment="1">
      <alignment horizontal="center" vertical="center"/>
    </xf>
    <xf numFmtId="1" fontId="9" fillId="6" borderId="34" xfId="0" applyNumberFormat="1" applyFont="1" applyFill="1" applyBorder="1" applyAlignment="1">
      <alignment horizontal="center" vertical="top"/>
    </xf>
    <xf numFmtId="41" fontId="9" fillId="6" borderId="34" xfId="1" applyFont="1" applyFill="1" applyBorder="1" applyAlignment="1">
      <alignment horizontal="right" vertical="top"/>
    </xf>
    <xf numFmtId="165" fontId="9" fillId="6" borderId="34" xfId="5" applyNumberFormat="1" applyFont="1" applyFill="1" applyBorder="1" applyAlignment="1">
      <alignment horizontal="center" vertical="center"/>
    </xf>
    <xf numFmtId="1" fontId="9" fillId="6" borderId="34" xfId="5" applyNumberFormat="1" applyFont="1" applyFill="1" applyBorder="1" applyAlignment="1">
      <alignment horizontal="center" vertical="top"/>
    </xf>
    <xf numFmtId="165" fontId="9" fillId="6" borderId="34" xfId="0" applyNumberFormat="1" applyFont="1" applyFill="1" applyBorder="1" applyAlignment="1">
      <alignment horizontal="center" vertical="top"/>
    </xf>
    <xf numFmtId="164" fontId="5" fillId="6" borderId="17" xfId="6" applyNumberFormat="1" applyFont="1" applyFill="1" applyBorder="1" applyAlignment="1">
      <alignment horizontal="right" vertical="center"/>
    </xf>
    <xf numFmtId="164" fontId="5" fillId="6" borderId="17" xfId="6" applyNumberFormat="1" applyFont="1" applyFill="1" applyBorder="1" applyAlignment="1">
      <alignment horizontal="center" vertical="center"/>
    </xf>
    <xf numFmtId="41" fontId="9" fillId="6" borderId="38" xfId="5" applyNumberFormat="1" applyFont="1" applyFill="1" applyBorder="1" applyAlignment="1">
      <alignment horizontal="center" vertical="top"/>
    </xf>
    <xf numFmtId="41" fontId="9" fillId="6" borderId="40" xfId="5" applyNumberFormat="1" applyFont="1" applyFill="1" applyBorder="1" applyAlignment="1">
      <alignment horizontal="center" vertical="top"/>
    </xf>
    <xf numFmtId="41" fontId="9" fillId="6" borderId="38" xfId="5" applyNumberFormat="1" applyFont="1" applyFill="1" applyBorder="1" applyAlignment="1">
      <alignment horizontal="right" vertical="top"/>
    </xf>
    <xf numFmtId="41" fontId="9" fillId="6" borderId="38" xfId="0" applyNumberFormat="1" applyFont="1" applyFill="1" applyBorder="1" applyAlignment="1">
      <alignment horizontal="center" vertical="top"/>
    </xf>
    <xf numFmtId="0" fontId="9" fillId="6" borderId="16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top" wrapText="1"/>
    </xf>
    <xf numFmtId="165" fontId="9" fillId="6" borderId="17" xfId="5" applyFont="1" applyFill="1" applyBorder="1" applyAlignment="1">
      <alignment horizontal="right" vertical="top"/>
    </xf>
    <xf numFmtId="1" fontId="9" fillId="6" borderId="17" xfId="0" applyNumberFormat="1" applyFont="1" applyFill="1" applyBorder="1" applyAlignment="1">
      <alignment horizontal="center" vertical="center"/>
    </xf>
    <xf numFmtId="1" fontId="9" fillId="6" borderId="17" xfId="5" applyNumberFormat="1" applyFont="1" applyFill="1" applyBorder="1" applyAlignment="1">
      <alignment horizontal="center" vertical="top"/>
    </xf>
    <xf numFmtId="41" fontId="9" fillId="6" borderId="17" xfId="1" applyFont="1" applyFill="1" applyBorder="1" applyAlignment="1">
      <alignment horizontal="right" vertical="top"/>
    </xf>
    <xf numFmtId="1" fontId="9" fillId="6" borderId="17" xfId="0" applyNumberFormat="1" applyFont="1" applyFill="1" applyBorder="1" applyAlignment="1">
      <alignment horizontal="center" vertical="top"/>
    </xf>
    <xf numFmtId="165" fontId="9" fillId="6" borderId="17" xfId="0" applyNumberFormat="1" applyFont="1" applyFill="1" applyBorder="1" applyAlignment="1">
      <alignment horizontal="right" vertical="top"/>
    </xf>
    <xf numFmtId="0" fontId="9" fillId="6" borderId="40" xfId="5" applyNumberFormat="1" applyFont="1" applyFill="1" applyBorder="1" applyAlignment="1">
      <alignment horizontal="left" vertical="top" wrapText="1"/>
    </xf>
    <xf numFmtId="0" fontId="9" fillId="6" borderId="4" xfId="5" applyNumberFormat="1" applyFont="1" applyFill="1" applyBorder="1" applyAlignment="1">
      <alignment horizontal="left" vertical="top" wrapText="1"/>
    </xf>
    <xf numFmtId="41" fontId="9" fillId="6" borderId="40" xfId="5" applyNumberFormat="1" applyFont="1" applyFill="1" applyBorder="1" applyAlignment="1">
      <alignment horizontal="right" vertical="top"/>
    </xf>
    <xf numFmtId="41" fontId="9" fillId="6" borderId="40" xfId="0" applyNumberFormat="1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9" fillId="3" borderId="4" xfId="5" applyNumberFormat="1" applyFont="1" applyFill="1" applyBorder="1" applyAlignment="1">
      <alignment horizontal="left" vertical="top" wrapText="1"/>
    </xf>
    <xf numFmtId="4" fontId="5" fillId="3" borderId="4" xfId="7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41" fontId="9" fillId="3" borderId="17" xfId="5" applyNumberFormat="1" applyFont="1" applyFill="1" applyBorder="1" applyAlignment="1">
      <alignment horizontal="right" vertical="top"/>
    </xf>
    <xf numFmtId="41" fontId="9" fillId="3" borderId="17" xfId="0" applyNumberFormat="1" applyFont="1" applyFill="1" applyBorder="1" applyAlignment="1">
      <alignment horizontal="center" vertical="top"/>
    </xf>
    <xf numFmtId="41" fontId="9" fillId="3" borderId="74" xfId="5" applyNumberFormat="1" applyFont="1" applyFill="1" applyBorder="1" applyAlignment="1">
      <alignment horizontal="right" vertical="top"/>
    </xf>
    <xf numFmtId="165" fontId="9" fillId="3" borderId="17" xfId="5" applyFont="1" applyFill="1" applyBorder="1" applyAlignment="1">
      <alignment horizontal="center" vertical="top"/>
    </xf>
    <xf numFmtId="165" fontId="9" fillId="3" borderId="17" xfId="5" applyFont="1" applyFill="1" applyBorder="1" applyAlignment="1">
      <alignment horizontal="right" vertical="top"/>
    </xf>
    <xf numFmtId="167" fontId="9" fillId="3" borderId="17" xfId="0" applyNumberFormat="1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top"/>
    </xf>
    <xf numFmtId="165" fontId="9" fillId="3" borderId="17" xfId="0" applyNumberFormat="1" applyFont="1" applyFill="1" applyBorder="1" applyAlignment="1">
      <alignment horizontal="right" vertical="top"/>
    </xf>
    <xf numFmtId="165" fontId="9" fillId="3" borderId="17" xfId="0" applyNumberFormat="1" applyFont="1" applyFill="1" applyBorder="1" applyAlignment="1">
      <alignment horizontal="center" vertical="top"/>
    </xf>
    <xf numFmtId="0" fontId="9" fillId="3" borderId="22" xfId="0" applyFont="1" applyFill="1" applyBorder="1" applyAlignment="1">
      <alignment horizontal="center" vertical="center" wrapText="1"/>
    </xf>
    <xf numFmtId="0" fontId="5" fillId="3" borderId="0" xfId="3" applyFont="1" applyFill="1"/>
    <xf numFmtId="167" fontId="9" fillId="6" borderId="17" xfId="0" applyNumberFormat="1" applyFont="1" applyFill="1" applyBorder="1" applyAlignment="1">
      <alignment horizontal="center" vertical="center"/>
    </xf>
    <xf numFmtId="0" fontId="5" fillId="6" borderId="0" xfId="3" applyFont="1" applyFill="1"/>
    <xf numFmtId="4" fontId="5" fillId="6" borderId="4" xfId="7" applyNumberFormat="1" applyFont="1" applyFill="1" applyBorder="1" applyAlignment="1">
      <alignment horizontal="left" vertical="top" wrapText="1"/>
    </xf>
    <xf numFmtId="1" fontId="9" fillId="3" borderId="40" xfId="0" applyNumberFormat="1" applyFont="1" applyFill="1" applyBorder="1" applyAlignment="1">
      <alignment horizontal="right" vertical="top"/>
    </xf>
    <xf numFmtId="1" fontId="9" fillId="6" borderId="24" xfId="0" applyNumberFormat="1" applyFont="1" applyFill="1" applyBorder="1" applyAlignment="1">
      <alignment horizontal="right" vertical="top"/>
    </xf>
    <xf numFmtId="41" fontId="9" fillId="6" borderId="24" xfId="5" applyNumberFormat="1" applyFont="1" applyFill="1" applyBorder="1" applyAlignment="1">
      <alignment horizontal="right" vertical="top"/>
    </xf>
    <xf numFmtId="165" fontId="9" fillId="6" borderId="24" xfId="5" applyFont="1" applyFill="1" applyBorder="1" applyAlignment="1">
      <alignment horizontal="center" vertical="top"/>
    </xf>
    <xf numFmtId="165" fontId="9" fillId="6" borderId="24" xfId="5" applyFont="1" applyFill="1" applyBorder="1" applyAlignment="1">
      <alignment horizontal="right" vertical="top"/>
    </xf>
    <xf numFmtId="0" fontId="8" fillId="5" borderId="25" xfId="3" applyFont="1" applyFill="1" applyBorder="1" applyAlignment="1">
      <alignment vertical="center"/>
    </xf>
    <xf numFmtId="165" fontId="9" fillId="6" borderId="24" xfId="0" applyNumberFormat="1" applyFont="1" applyFill="1" applyBorder="1" applyAlignment="1">
      <alignment horizontal="right" vertical="top"/>
    </xf>
    <xf numFmtId="165" fontId="9" fillId="6" borderId="24" xfId="0" applyNumberFormat="1" applyFont="1" applyFill="1" applyBorder="1" applyAlignment="1">
      <alignment horizontal="center" vertical="top"/>
    </xf>
    <xf numFmtId="1" fontId="9" fillId="6" borderId="24" xfId="0" applyNumberFormat="1" applyFont="1" applyFill="1" applyBorder="1" applyAlignment="1">
      <alignment horizontal="center" vertical="top"/>
    </xf>
    <xf numFmtId="41" fontId="9" fillId="6" borderId="19" xfId="5" applyNumberFormat="1" applyFont="1" applyFill="1" applyBorder="1" applyAlignment="1">
      <alignment horizontal="right" vertical="top"/>
    </xf>
    <xf numFmtId="0" fontId="9" fillId="3" borderId="40" xfId="0" applyFont="1" applyFill="1" applyBorder="1" applyAlignment="1">
      <alignment horizontal="left" vertical="top"/>
    </xf>
    <xf numFmtId="165" fontId="9" fillId="3" borderId="40" xfId="5" applyNumberFormat="1" applyFont="1" applyFill="1" applyBorder="1" applyAlignment="1">
      <alignment horizontal="right" vertical="top"/>
    </xf>
    <xf numFmtId="0" fontId="9" fillId="3" borderId="40" xfId="5" applyNumberFormat="1" applyFont="1" applyFill="1" applyBorder="1" applyAlignment="1">
      <alignment horizontal="center" vertical="top"/>
    </xf>
    <xf numFmtId="41" fontId="9" fillId="3" borderId="40" xfId="5" applyNumberFormat="1" applyFont="1" applyFill="1" applyBorder="1" applyAlignment="1">
      <alignment horizontal="center" vertical="top"/>
    </xf>
    <xf numFmtId="41" fontId="9" fillId="3" borderId="40" xfId="5" applyNumberFormat="1" applyFont="1" applyFill="1" applyBorder="1" applyAlignment="1">
      <alignment horizontal="right" vertical="top"/>
    </xf>
    <xf numFmtId="0" fontId="9" fillId="6" borderId="24" xfId="0" applyFont="1" applyFill="1" applyBorder="1" applyAlignment="1">
      <alignment horizontal="left" vertical="top"/>
    </xf>
    <xf numFmtId="165" fontId="9" fillId="6" borderId="24" xfId="5" applyNumberFormat="1" applyFont="1" applyFill="1" applyBorder="1" applyAlignment="1">
      <alignment horizontal="right" vertical="top"/>
    </xf>
    <xf numFmtId="0" fontId="9" fillId="6" borderId="24" xfId="5" applyNumberFormat="1" applyFont="1" applyFill="1" applyBorder="1" applyAlignment="1">
      <alignment horizontal="center" vertical="top"/>
    </xf>
    <xf numFmtId="41" fontId="9" fillId="6" borderId="24" xfId="5" applyNumberFormat="1" applyFont="1" applyFill="1" applyBorder="1" applyAlignment="1">
      <alignment horizontal="center" vertical="top"/>
    </xf>
    <xf numFmtId="41" fontId="9" fillId="6" borderId="24" xfId="0" applyNumberFormat="1" applyFont="1" applyFill="1" applyBorder="1" applyAlignment="1">
      <alignment horizontal="center" vertical="top"/>
    </xf>
    <xf numFmtId="0" fontId="9" fillId="6" borderId="18" xfId="0" applyFont="1" applyFill="1" applyBorder="1" applyAlignment="1">
      <alignment horizontal="center" vertical="center" wrapText="1"/>
    </xf>
    <xf numFmtId="0" fontId="5" fillId="6" borderId="70" xfId="3" applyFont="1" applyFill="1" applyBorder="1"/>
    <xf numFmtId="165" fontId="5" fillId="0" borderId="0" xfId="4" applyFont="1" applyBorder="1"/>
    <xf numFmtId="9" fontId="7" fillId="4" borderId="30" xfId="6" applyNumberFormat="1" applyFont="1" applyFill="1" applyBorder="1" applyAlignment="1">
      <alignment horizontal="right" vertical="center"/>
    </xf>
    <xf numFmtId="9" fontId="8" fillId="5" borderId="4" xfId="3" applyNumberFormat="1" applyFont="1" applyFill="1" applyBorder="1" applyAlignment="1">
      <alignment horizontal="right"/>
    </xf>
    <xf numFmtId="9" fontId="8" fillId="3" borderId="30" xfId="0" applyNumberFormat="1" applyFont="1" applyFill="1" applyBorder="1" applyAlignment="1">
      <alignment horizontal="right" vertical="top"/>
    </xf>
    <xf numFmtId="9" fontId="8" fillId="4" borderId="30" xfId="0" applyNumberFormat="1" applyFont="1" applyFill="1" applyBorder="1" applyAlignment="1">
      <alignment horizontal="right" vertical="top"/>
    </xf>
    <xf numFmtId="9" fontId="7" fillId="4" borderId="30" xfId="6" applyNumberFormat="1" applyFont="1" applyFill="1" applyBorder="1" applyAlignment="1">
      <alignment horizontal="center" vertical="center"/>
    </xf>
    <xf numFmtId="9" fontId="8" fillId="3" borderId="30" xfId="0" applyNumberFormat="1" applyFont="1" applyFill="1" applyBorder="1" applyAlignment="1">
      <alignment horizontal="center" vertical="center"/>
    </xf>
    <xf numFmtId="9" fontId="8" fillId="5" borderId="4" xfId="3" applyNumberFormat="1" applyFont="1" applyFill="1" applyBorder="1" applyAlignment="1">
      <alignment horizontal="center" vertical="center"/>
    </xf>
    <xf numFmtId="9" fontId="8" fillId="4" borderId="30" xfId="0" applyNumberFormat="1" applyFont="1" applyFill="1" applyBorder="1" applyAlignment="1">
      <alignment horizontal="center" vertical="center"/>
    </xf>
    <xf numFmtId="3" fontId="8" fillId="5" borderId="4" xfId="1" applyNumberFormat="1" applyFont="1" applyFill="1" applyBorder="1" applyAlignment="1">
      <alignment horizontal="right"/>
    </xf>
    <xf numFmtId="0" fontId="21" fillId="0" borderId="0" xfId="0" applyFont="1"/>
    <xf numFmtId="0" fontId="22" fillId="0" borderId="0" xfId="3" applyFont="1" applyFill="1" applyBorder="1" applyAlignment="1">
      <alignment horizontal="center"/>
    </xf>
    <xf numFmtId="0" fontId="0" fillId="0" borderId="0" xfId="0" applyAlignment="1"/>
    <xf numFmtId="165" fontId="5" fillId="0" borderId="48" xfId="4" applyFont="1" applyBorder="1" applyAlignment="1">
      <alignment horizontal="center" vertical="center" wrapText="1"/>
    </xf>
    <xf numFmtId="0" fontId="8" fillId="0" borderId="41" xfId="3" applyFont="1" applyFill="1" applyBorder="1" applyAlignment="1">
      <alignment horizontal="left"/>
    </xf>
    <xf numFmtId="165" fontId="9" fillId="0" borderId="32" xfId="4" applyFont="1" applyBorder="1" applyAlignment="1">
      <alignment vertical="center"/>
    </xf>
    <xf numFmtId="165" fontId="9" fillId="0" borderId="22" xfId="4" applyFont="1" applyBorder="1" applyAlignment="1">
      <alignment vertical="center"/>
    </xf>
    <xf numFmtId="165" fontId="9" fillId="0" borderId="48" xfId="4" applyFont="1" applyBorder="1" applyAlignment="1">
      <alignment vertical="center"/>
    </xf>
    <xf numFmtId="165" fontId="8" fillId="4" borderId="17" xfId="4" applyFont="1" applyFill="1" applyBorder="1" applyAlignment="1">
      <alignment horizontal="center" vertical="center" wrapText="1"/>
    </xf>
    <xf numFmtId="165" fontId="5" fillId="0" borderId="55" xfId="4" applyFont="1" applyBorder="1" applyAlignment="1">
      <alignment horizontal="center" vertical="center"/>
    </xf>
    <xf numFmtId="165" fontId="8" fillId="0" borderId="0" xfId="4" applyFont="1" applyBorder="1" applyAlignment="1">
      <alignment horizontal="right"/>
    </xf>
    <xf numFmtId="165" fontId="7" fillId="4" borderId="30" xfId="4" applyFont="1" applyFill="1" applyBorder="1" applyAlignment="1">
      <alignment horizontal="center" vertical="center" wrapText="1"/>
    </xf>
    <xf numFmtId="165" fontId="10" fillId="7" borderId="0" xfId="4" applyFont="1" applyFill="1" applyBorder="1" applyAlignment="1">
      <alignment horizontal="right"/>
    </xf>
    <xf numFmtId="164" fontId="7" fillId="6" borderId="34" xfId="6" applyNumberFormat="1" applyFont="1" applyFill="1" applyBorder="1" applyAlignment="1">
      <alignment horizontal="center" vertical="center"/>
    </xf>
    <xf numFmtId="164" fontId="7" fillId="6" borderId="38" xfId="6" applyNumberFormat="1" applyFont="1" applyFill="1" applyBorder="1" applyAlignment="1">
      <alignment horizontal="center" vertical="center"/>
    </xf>
    <xf numFmtId="164" fontId="7" fillId="6" borderId="40" xfId="6" applyNumberFormat="1" applyFont="1" applyFill="1" applyBorder="1" applyAlignment="1">
      <alignment horizontal="center" vertical="center"/>
    </xf>
    <xf numFmtId="164" fontId="7" fillId="6" borderId="6" xfId="6" applyNumberFormat="1" applyFont="1" applyFill="1" applyBorder="1" applyAlignment="1">
      <alignment horizontal="center" vertical="center"/>
    </xf>
    <xf numFmtId="0" fontId="9" fillId="6" borderId="34" xfId="5" applyNumberFormat="1" applyFont="1" applyFill="1" applyBorder="1" applyAlignment="1">
      <alignment horizontal="justify" vertical="top"/>
    </xf>
    <xf numFmtId="0" fontId="9" fillId="6" borderId="34" xfId="0" applyFont="1" applyFill="1" applyBorder="1" applyAlignment="1">
      <alignment horizontal="justify" vertical="top"/>
    </xf>
    <xf numFmtId="2" fontId="9" fillId="6" borderId="34" xfId="0" applyNumberFormat="1" applyFont="1" applyFill="1" applyBorder="1" applyAlignment="1">
      <alignment horizontal="left" vertical="top"/>
    </xf>
    <xf numFmtId="0" fontId="9" fillId="6" borderId="34" xfId="5" applyNumberFormat="1" applyFont="1" applyFill="1" applyBorder="1" applyAlignment="1">
      <alignment horizontal="center" vertical="top"/>
    </xf>
    <xf numFmtId="165" fontId="9" fillId="6" borderId="34" xfId="5" applyFont="1" applyFill="1" applyBorder="1" applyAlignment="1">
      <alignment horizontal="right" vertical="top"/>
    </xf>
    <xf numFmtId="167" fontId="9" fillId="0" borderId="34" xfId="0" applyNumberFormat="1" applyFont="1" applyBorder="1" applyAlignment="1">
      <alignment horizontal="center" vertical="center"/>
    </xf>
    <xf numFmtId="165" fontId="9" fillId="6" borderId="34" xfId="0" applyNumberFormat="1" applyFont="1" applyFill="1" applyBorder="1" applyAlignment="1">
      <alignment horizontal="right" vertical="top"/>
    </xf>
    <xf numFmtId="0" fontId="8" fillId="4" borderId="4" xfId="5" applyNumberFormat="1" applyFont="1" applyFill="1" applyBorder="1" applyAlignment="1">
      <alignment horizontal="justify" vertical="top"/>
    </xf>
    <xf numFmtId="164" fontId="7" fillId="4" borderId="4" xfId="6" applyNumberFormat="1" applyFont="1" applyFill="1" applyBorder="1" applyAlignment="1">
      <alignment horizontal="right" vertical="center"/>
    </xf>
    <xf numFmtId="0" fontId="7" fillId="4" borderId="21" xfId="3" applyFont="1" applyFill="1" applyBorder="1" applyAlignment="1">
      <alignment horizontal="left" vertical="center"/>
    </xf>
    <xf numFmtId="164" fontId="7" fillId="4" borderId="4" xfId="6" applyNumberFormat="1" applyFont="1" applyFill="1" applyBorder="1" applyAlignment="1">
      <alignment horizontal="center" vertical="center"/>
    </xf>
    <xf numFmtId="166" fontId="7" fillId="4" borderId="4" xfId="6" applyFont="1" applyFill="1" applyBorder="1" applyAlignment="1">
      <alignment horizontal="right" vertical="center"/>
    </xf>
    <xf numFmtId="9" fontId="7" fillId="4" borderId="4" xfId="6" applyNumberFormat="1" applyFont="1" applyFill="1" applyBorder="1" applyAlignment="1">
      <alignment horizontal="right" vertical="center"/>
    </xf>
    <xf numFmtId="9" fontId="7" fillId="4" borderId="4" xfId="6" applyNumberFormat="1" applyFont="1" applyFill="1" applyBorder="1" applyAlignment="1">
      <alignment horizontal="center" vertical="center"/>
    </xf>
    <xf numFmtId="41" fontId="7" fillId="4" borderId="4" xfId="1" applyFont="1" applyFill="1" applyBorder="1" applyAlignment="1">
      <alignment horizontal="center" vertical="center"/>
    </xf>
    <xf numFmtId="1" fontId="7" fillId="4" borderId="4" xfId="6" applyNumberFormat="1" applyFont="1" applyFill="1" applyBorder="1" applyAlignment="1">
      <alignment horizontal="center" vertical="center"/>
    </xf>
    <xf numFmtId="164" fontId="7" fillId="4" borderId="1" xfId="6" applyNumberFormat="1" applyFont="1" applyFill="1" applyBorder="1" applyAlignment="1">
      <alignment horizontal="center" vertical="center"/>
    </xf>
    <xf numFmtId="4" fontId="5" fillId="0" borderId="38" xfId="7" applyNumberFormat="1" applyFont="1" applyBorder="1" applyAlignment="1">
      <alignment horizontal="left" vertical="center" wrapText="1"/>
    </xf>
    <xf numFmtId="0" fontId="9" fillId="6" borderId="40" xfId="5" applyNumberFormat="1" applyFont="1" applyFill="1" applyBorder="1" applyAlignment="1">
      <alignment horizontal="justify" vertical="top"/>
    </xf>
    <xf numFmtId="4" fontId="5" fillId="0" borderId="0" xfId="7" applyNumberFormat="1" applyFont="1" applyBorder="1" applyAlignment="1">
      <alignment horizontal="left" vertical="center" wrapText="1"/>
    </xf>
    <xf numFmtId="4" fontId="5" fillId="0" borderId="51" xfId="7" applyNumberFormat="1" applyFont="1" applyBorder="1" applyAlignment="1">
      <alignment horizontal="left" vertical="center" wrapText="1"/>
    </xf>
    <xf numFmtId="4" fontId="5" fillId="0" borderId="30" xfId="7" applyNumberFormat="1" applyFont="1" applyBorder="1" applyAlignment="1">
      <alignment horizontal="left" vertical="center" wrapText="1"/>
    </xf>
    <xf numFmtId="4" fontId="5" fillId="0" borderId="34" xfId="7" applyNumberFormat="1" applyFont="1" applyBorder="1" applyAlignment="1">
      <alignment horizontal="left" vertical="center" wrapText="1"/>
    </xf>
    <xf numFmtId="9" fontId="7" fillId="4" borderId="30" xfId="1" applyNumberFormat="1" applyFont="1" applyFill="1" applyBorder="1" applyAlignment="1">
      <alignment horizontal="center" vertical="center"/>
    </xf>
    <xf numFmtId="9" fontId="8" fillId="4" borderId="30" xfId="0" applyNumberFormat="1" applyFont="1" applyFill="1" applyBorder="1" applyAlignment="1">
      <alignment horizontal="right" vertical="center"/>
    </xf>
    <xf numFmtId="165" fontId="8" fillId="4" borderId="30" xfId="5" applyNumberFormat="1" applyFont="1" applyFill="1" applyBorder="1" applyAlignment="1">
      <alignment horizontal="right" vertical="center"/>
    </xf>
    <xf numFmtId="41" fontId="8" fillId="4" borderId="30" xfId="1" applyFont="1" applyFill="1" applyBorder="1" applyAlignment="1">
      <alignment horizontal="right" vertical="center"/>
    </xf>
    <xf numFmtId="1" fontId="8" fillId="4" borderId="34" xfId="0" applyNumberFormat="1" applyFont="1" applyFill="1" applyBorder="1" applyAlignment="1">
      <alignment horizontal="right" vertical="center"/>
    </xf>
    <xf numFmtId="165" fontId="8" fillId="4" borderId="34" xfId="5" applyNumberFormat="1" applyFont="1" applyFill="1" applyBorder="1" applyAlignment="1">
      <alignment horizontal="right" vertical="center"/>
    </xf>
    <xf numFmtId="41" fontId="8" fillId="4" borderId="34" xfId="1" applyFont="1" applyFill="1" applyBorder="1" applyAlignment="1">
      <alignment horizontal="right" vertical="center"/>
    </xf>
    <xf numFmtId="2" fontId="8" fillId="4" borderId="30" xfId="0" applyNumberFormat="1" applyFont="1" applyFill="1" applyBorder="1" applyAlignment="1">
      <alignment horizontal="left" vertical="center"/>
    </xf>
    <xf numFmtId="2" fontId="8" fillId="4" borderId="34" xfId="0" applyNumberFormat="1" applyFont="1" applyFill="1" applyBorder="1" applyAlignment="1">
      <alignment horizontal="left" vertical="center"/>
    </xf>
    <xf numFmtId="165" fontId="5" fillId="0" borderId="53" xfId="4" applyFont="1" applyBorder="1" applyAlignment="1">
      <alignment vertical="center"/>
    </xf>
    <xf numFmtId="0" fontId="8" fillId="0" borderId="44" xfId="3" applyFont="1" applyFill="1" applyBorder="1" applyAlignment="1">
      <alignment horizontal="right"/>
    </xf>
    <xf numFmtId="165" fontId="5" fillId="0" borderId="38" xfId="4" applyFont="1" applyBorder="1" applyAlignment="1">
      <alignment vertical="center"/>
    </xf>
    <xf numFmtId="171" fontId="5" fillId="0" borderId="38" xfId="4" applyNumberFormat="1" applyFont="1" applyBorder="1" applyAlignment="1">
      <alignment horizontal="center" vertical="center"/>
    </xf>
    <xf numFmtId="171" fontId="5" fillId="0" borderId="38" xfId="4" applyNumberFormat="1" applyFont="1" applyBorder="1" applyAlignment="1">
      <alignment vertical="center"/>
    </xf>
    <xf numFmtId="165" fontId="5" fillId="0" borderId="53" xfId="4" applyFont="1" applyBorder="1" applyAlignment="1">
      <alignment horizontal="right" vertical="center"/>
    </xf>
    <xf numFmtId="165" fontId="5" fillId="6" borderId="51" xfId="4" applyFont="1" applyFill="1" applyBorder="1" applyAlignment="1">
      <alignment horizontal="center" vertical="center"/>
    </xf>
    <xf numFmtId="165" fontId="8" fillId="5" borderId="4" xfId="4" applyFont="1" applyFill="1" applyBorder="1" applyAlignment="1">
      <alignment horizontal="center" vertical="center"/>
    </xf>
    <xf numFmtId="165" fontId="5" fillId="6" borderId="51" xfId="4" applyNumberFormat="1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left"/>
    </xf>
    <xf numFmtId="165" fontId="5" fillId="0" borderId="48" xfId="4" applyFont="1" applyBorder="1" applyAlignment="1">
      <alignment horizontal="center" vertical="center" wrapText="1"/>
    </xf>
    <xf numFmtId="0" fontId="0" fillId="0" borderId="0" xfId="0" applyAlignment="1"/>
    <xf numFmtId="0" fontId="8" fillId="0" borderId="41" xfId="3" applyFont="1" applyFill="1" applyBorder="1" applyAlignment="1">
      <alignment horizontal="left"/>
    </xf>
    <xf numFmtId="0" fontId="8" fillId="0" borderId="42" xfId="3" applyFont="1" applyFill="1" applyBorder="1" applyAlignment="1">
      <alignment horizontal="left"/>
    </xf>
    <xf numFmtId="165" fontId="9" fillId="0" borderId="32" xfId="4" applyFont="1" applyBorder="1" applyAlignment="1">
      <alignment vertical="center"/>
    </xf>
    <xf numFmtId="165" fontId="9" fillId="0" borderId="22" xfId="4" applyFont="1" applyBorder="1" applyAlignment="1">
      <alignment vertical="center"/>
    </xf>
    <xf numFmtId="165" fontId="9" fillId="0" borderId="48" xfId="4" applyFont="1" applyBorder="1" applyAlignment="1">
      <alignment vertical="center"/>
    </xf>
    <xf numFmtId="165" fontId="5" fillId="0" borderId="73" xfId="4" applyFont="1" applyBorder="1" applyAlignment="1">
      <alignment horizontal="center" vertical="top"/>
    </xf>
    <xf numFmtId="165" fontId="7" fillId="6" borderId="37" xfId="4" applyFont="1" applyFill="1" applyBorder="1" applyAlignment="1">
      <alignment horizontal="center" vertical="center"/>
    </xf>
    <xf numFmtId="165" fontId="7" fillId="4" borderId="46" xfId="4" applyFont="1" applyFill="1" applyBorder="1" applyAlignment="1">
      <alignment horizontal="center" vertical="center" wrapText="1"/>
    </xf>
    <xf numFmtId="165" fontId="5" fillId="6" borderId="37" xfId="4" applyFont="1" applyFill="1" applyBorder="1" applyAlignment="1">
      <alignment horizontal="center" vertical="center"/>
    </xf>
    <xf numFmtId="165" fontId="5" fillId="6" borderId="39" xfId="4" applyFont="1" applyFill="1" applyBorder="1" applyAlignment="1">
      <alignment horizontal="center" vertical="center"/>
    </xf>
    <xf numFmtId="165" fontId="5" fillId="6" borderId="37" xfId="4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165" fontId="8" fillId="5" borderId="64" xfId="4" applyFont="1" applyFill="1" applyBorder="1" applyAlignment="1">
      <alignment horizontal="right"/>
    </xf>
    <xf numFmtId="165" fontId="8" fillId="5" borderId="3" xfId="4" applyFont="1" applyFill="1" applyBorder="1" applyAlignment="1">
      <alignment horizontal="right"/>
    </xf>
    <xf numFmtId="165" fontId="8" fillId="5" borderId="19" xfId="4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165" fontId="8" fillId="5" borderId="43" xfId="4" applyFont="1" applyFill="1" applyBorder="1" applyAlignment="1">
      <alignment horizontal="right"/>
    </xf>
    <xf numFmtId="165" fontId="8" fillId="5" borderId="44" xfId="4" applyFont="1" applyFill="1" applyBorder="1" applyAlignment="1">
      <alignment horizontal="right"/>
    </xf>
    <xf numFmtId="165" fontId="8" fillId="5" borderId="60" xfId="4" applyFont="1" applyFill="1" applyBorder="1" applyAlignment="1">
      <alignment horizontal="right"/>
    </xf>
    <xf numFmtId="165" fontId="5" fillId="0" borderId="48" xfId="4" applyFont="1" applyBorder="1" applyAlignment="1">
      <alignment horizontal="center" vertical="center" wrapText="1"/>
    </xf>
    <xf numFmtId="0" fontId="19" fillId="0" borderId="17" xfId="8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41" xfId="3" applyFont="1" applyFill="1" applyBorder="1" applyAlignment="1">
      <alignment horizontal="left"/>
    </xf>
    <xf numFmtId="0" fontId="8" fillId="0" borderId="42" xfId="3" applyFont="1" applyFill="1" applyBorder="1" applyAlignment="1">
      <alignment horizontal="left"/>
    </xf>
    <xf numFmtId="165" fontId="8" fillId="0" borderId="56" xfId="4" applyFont="1" applyBorder="1" applyAlignment="1">
      <alignment horizontal="right"/>
    </xf>
    <xf numFmtId="165" fontId="8" fillId="0" borderId="57" xfId="4" applyFont="1" applyBorder="1" applyAlignment="1">
      <alignment horizontal="right"/>
    </xf>
    <xf numFmtId="165" fontId="8" fillId="0" borderId="65" xfId="4" applyFont="1" applyBorder="1" applyAlignment="1">
      <alignment horizontal="right"/>
    </xf>
    <xf numFmtId="165" fontId="8" fillId="5" borderId="41" xfId="4" applyFont="1" applyFill="1" applyBorder="1" applyAlignment="1">
      <alignment horizontal="right"/>
    </xf>
    <xf numFmtId="165" fontId="8" fillId="5" borderId="42" xfId="4" applyFont="1" applyFill="1" applyBorder="1" applyAlignment="1">
      <alignment horizontal="right"/>
    </xf>
    <xf numFmtId="165" fontId="8" fillId="5" borderId="21" xfId="4" applyFont="1" applyFill="1" applyBorder="1" applyAlignment="1">
      <alignment horizontal="right"/>
    </xf>
    <xf numFmtId="165" fontId="8" fillId="0" borderId="41" xfId="4" applyFont="1" applyBorder="1" applyAlignment="1">
      <alignment horizontal="right"/>
    </xf>
    <xf numFmtId="165" fontId="8" fillId="0" borderId="42" xfId="4" applyFont="1" applyBorder="1" applyAlignment="1">
      <alignment horizontal="right"/>
    </xf>
    <xf numFmtId="165" fontId="8" fillId="0" borderId="21" xfId="4" applyFont="1" applyBorder="1" applyAlignment="1">
      <alignment horizontal="right"/>
    </xf>
    <xf numFmtId="0" fontId="5" fillId="0" borderId="20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165" fontId="16" fillId="2" borderId="26" xfId="4" applyFont="1" applyFill="1" applyBorder="1" applyAlignment="1">
      <alignment horizontal="left" vertical="center"/>
    </xf>
    <xf numFmtId="165" fontId="16" fillId="2" borderId="13" xfId="4" applyFont="1" applyFill="1" applyBorder="1" applyAlignment="1">
      <alignment horizontal="left" vertical="center"/>
    </xf>
    <xf numFmtId="165" fontId="16" fillId="2" borderId="27" xfId="4" applyFont="1" applyFill="1" applyBorder="1" applyAlignment="1">
      <alignment horizontal="left" vertical="center"/>
    </xf>
    <xf numFmtId="165" fontId="17" fillId="2" borderId="41" xfId="4" applyFont="1" applyFill="1" applyBorder="1" applyAlignment="1">
      <alignment horizontal="left" vertical="center"/>
    </xf>
    <xf numFmtId="165" fontId="17" fillId="2" borderId="42" xfId="4" applyFont="1" applyFill="1" applyBorder="1" applyAlignment="1">
      <alignment horizontal="left" vertical="center"/>
    </xf>
    <xf numFmtId="165" fontId="17" fillId="2" borderId="63" xfId="4" applyFont="1" applyFill="1" applyBorder="1" applyAlignment="1">
      <alignment horizontal="left" vertical="center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 wrapText="1"/>
    </xf>
    <xf numFmtId="165" fontId="5" fillId="0" borderId="32" xfId="4" applyFont="1" applyBorder="1" applyAlignment="1">
      <alignment horizontal="center" vertical="center" wrapText="1"/>
    </xf>
    <xf numFmtId="165" fontId="5" fillId="0" borderId="22" xfId="4" applyFont="1" applyBorder="1" applyAlignment="1">
      <alignment horizontal="center" vertical="center" wrapText="1"/>
    </xf>
    <xf numFmtId="165" fontId="5" fillId="0" borderId="25" xfId="4" applyFont="1" applyBorder="1" applyAlignment="1">
      <alignment horizontal="center" vertical="center" wrapText="1"/>
    </xf>
    <xf numFmtId="165" fontId="9" fillId="0" borderId="32" xfId="4" applyFont="1" applyBorder="1" applyAlignment="1">
      <alignment vertical="center"/>
    </xf>
    <xf numFmtId="165" fontId="9" fillId="0" borderId="22" xfId="4" applyFont="1" applyBorder="1" applyAlignment="1">
      <alignment vertical="center"/>
    </xf>
    <xf numFmtId="165" fontId="9" fillId="0" borderId="25" xfId="4" applyFont="1" applyBorder="1" applyAlignment="1">
      <alignment vertical="center"/>
    </xf>
    <xf numFmtId="165" fontId="9" fillId="0" borderId="48" xfId="4" applyFont="1" applyBorder="1" applyAlignment="1">
      <alignment vertical="center"/>
    </xf>
    <xf numFmtId="165" fontId="9" fillId="0" borderId="54" xfId="4" applyFont="1" applyBorder="1" applyAlignment="1">
      <alignment vertical="center"/>
    </xf>
    <xf numFmtId="165" fontId="5" fillId="6" borderId="48" xfId="4" applyFont="1" applyFill="1" applyBorder="1" applyAlignment="1">
      <alignment vertical="center" wrapText="1"/>
    </xf>
    <xf numFmtId="0" fontId="8" fillId="5" borderId="41" xfId="3" applyFont="1" applyFill="1" applyBorder="1" applyAlignment="1">
      <alignment horizontal="right"/>
    </xf>
    <xf numFmtId="0" fontId="8" fillId="5" borderId="42" xfId="3" applyFont="1" applyFill="1" applyBorder="1" applyAlignment="1">
      <alignment horizontal="right"/>
    </xf>
    <xf numFmtId="0" fontId="8" fillId="6" borderId="41" xfId="0" applyFont="1" applyFill="1" applyBorder="1" applyAlignment="1">
      <alignment horizontal="right"/>
    </xf>
    <xf numFmtId="0" fontId="8" fillId="6" borderId="42" xfId="0" applyFont="1" applyFill="1" applyBorder="1" applyAlignment="1">
      <alignment horizontal="right"/>
    </xf>
    <xf numFmtId="0" fontId="8" fillId="6" borderId="21" xfId="0" applyFont="1" applyFill="1" applyBorder="1" applyAlignment="1">
      <alignment horizontal="right"/>
    </xf>
    <xf numFmtId="0" fontId="8" fillId="0" borderId="41" xfId="3" applyFont="1" applyBorder="1" applyAlignment="1">
      <alignment horizontal="right"/>
    </xf>
    <xf numFmtId="0" fontId="8" fillId="0" borderId="42" xfId="3" applyFont="1" applyBorder="1" applyAlignment="1">
      <alignment horizontal="right"/>
    </xf>
    <xf numFmtId="0" fontId="8" fillId="0" borderId="56" xfId="3" applyFont="1" applyBorder="1" applyAlignment="1">
      <alignment horizontal="right"/>
    </xf>
    <xf numFmtId="0" fontId="8" fillId="0" borderId="57" xfId="3" applyFont="1" applyBorder="1" applyAlignment="1">
      <alignment horizontal="right"/>
    </xf>
    <xf numFmtId="0" fontId="9" fillId="0" borderId="3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top"/>
    </xf>
    <xf numFmtId="0" fontId="8" fillId="4" borderId="16" xfId="0" applyFont="1" applyFill="1" applyBorder="1" applyAlignment="1">
      <alignment horizontal="center" vertical="top"/>
    </xf>
    <xf numFmtId="0" fontId="8" fillId="4" borderId="23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9" fillId="4" borderId="17" xfId="0" applyFont="1" applyFill="1" applyBorder="1" applyAlignment="1">
      <alignment horizontal="center" vertical="top"/>
    </xf>
    <xf numFmtId="0" fontId="9" fillId="4" borderId="24" xfId="0" applyFont="1" applyFill="1" applyBorder="1" applyAlignment="1">
      <alignment horizontal="center" vertical="top"/>
    </xf>
    <xf numFmtId="0" fontId="8" fillId="4" borderId="6" xfId="5" applyNumberFormat="1" applyFont="1" applyFill="1" applyBorder="1" applyAlignment="1">
      <alignment horizontal="left" vertical="top" wrapText="1"/>
    </xf>
    <xf numFmtId="0" fontId="8" fillId="4" borderId="17" xfId="5" applyNumberFormat="1" applyFont="1" applyFill="1" applyBorder="1" applyAlignment="1">
      <alignment horizontal="left" vertical="top" wrapText="1"/>
    </xf>
    <xf numFmtId="0" fontId="8" fillId="4" borderId="24" xfId="5" applyNumberFormat="1" applyFont="1" applyFill="1" applyBorder="1" applyAlignment="1">
      <alignment horizontal="left" vertical="top" wrapText="1"/>
    </xf>
    <xf numFmtId="0" fontId="9" fillId="6" borderId="49" xfId="0" applyFont="1" applyFill="1" applyBorder="1" applyAlignment="1">
      <alignment horizontal="center" vertical="top" wrapText="1"/>
    </xf>
    <xf numFmtId="0" fontId="9" fillId="6" borderId="25" xfId="0" applyFont="1" applyFill="1" applyBorder="1" applyAlignment="1">
      <alignment horizontal="center" vertical="top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5" fillId="0" borderId="59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60" xfId="3" applyFont="1" applyBorder="1" applyAlignment="1">
      <alignment horizontal="center" vertical="center"/>
    </xf>
    <xf numFmtId="0" fontId="15" fillId="2" borderId="41" xfId="3" applyFont="1" applyFill="1" applyBorder="1" applyAlignment="1">
      <alignment horizontal="left" vertical="center"/>
    </xf>
    <xf numFmtId="0" fontId="15" fillId="2" borderId="42" xfId="3" applyFont="1" applyFill="1" applyBorder="1" applyAlignment="1">
      <alignment horizontal="left" vertical="center"/>
    </xf>
    <xf numFmtId="0" fontId="15" fillId="2" borderId="63" xfId="3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165" fontId="11" fillId="0" borderId="0" xfId="4" applyFont="1" applyAlignment="1">
      <alignment horizontal="center" vertical="top"/>
    </xf>
    <xf numFmtId="165" fontId="11" fillId="0" borderId="0" xfId="4" applyFont="1" applyAlignment="1">
      <alignment horizontal="center" vertical="center"/>
    </xf>
    <xf numFmtId="0" fontId="5" fillId="0" borderId="8" xfId="3" applyFont="1" applyBorder="1" applyAlignment="1">
      <alignment horizontal="left" vertical="center" wrapText="1"/>
    </xf>
    <xf numFmtId="0" fontId="5" fillId="0" borderId="17" xfId="3" applyFont="1" applyBorder="1" applyAlignment="1">
      <alignment horizontal="left" vertical="center" wrapText="1"/>
    </xf>
    <xf numFmtId="0" fontId="5" fillId="0" borderId="24" xfId="3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5" borderId="21" xfId="3" applyFont="1" applyFill="1" applyBorder="1" applyAlignment="1">
      <alignment horizontal="right"/>
    </xf>
    <xf numFmtId="165" fontId="8" fillId="6" borderId="17" xfId="4" quotePrefix="1" applyFont="1" applyFill="1" applyBorder="1" applyAlignment="1">
      <alignment horizontal="center" vertical="center" wrapText="1"/>
    </xf>
    <xf numFmtId="165" fontId="8" fillId="6" borderId="24" xfId="4" quotePrefix="1" applyFont="1" applyFill="1" applyBorder="1" applyAlignment="1">
      <alignment horizontal="center" vertical="center" wrapText="1"/>
    </xf>
    <xf numFmtId="0" fontId="9" fillId="6" borderId="73" xfId="0" applyFont="1" applyFill="1" applyBorder="1" applyAlignment="1">
      <alignment horizontal="center" vertical="top"/>
    </xf>
    <xf numFmtId="0" fontId="9" fillId="6" borderId="46" xfId="0" applyFont="1" applyFill="1" applyBorder="1" applyAlignment="1">
      <alignment horizontal="center" vertical="top"/>
    </xf>
    <xf numFmtId="0" fontId="9" fillId="6" borderId="18" xfId="0" applyFont="1" applyFill="1" applyBorder="1" applyAlignment="1">
      <alignment horizontal="center" vertical="top"/>
    </xf>
    <xf numFmtId="0" fontId="8" fillId="5" borderId="3" xfId="3" applyFont="1" applyFill="1" applyBorder="1" applyAlignment="1">
      <alignment horizontal="right"/>
    </xf>
    <xf numFmtId="1" fontId="8" fillId="4" borderId="6" xfId="0" applyNumberFormat="1" applyFont="1" applyFill="1" applyBorder="1" applyAlignment="1">
      <alignment horizontal="center" vertical="top"/>
    </xf>
    <xf numFmtId="1" fontId="8" fillId="4" borderId="34" xfId="0" applyNumberFormat="1" applyFont="1" applyFill="1" applyBorder="1" applyAlignment="1">
      <alignment horizontal="center" vertical="top"/>
    </xf>
    <xf numFmtId="1" fontId="8" fillId="4" borderId="6" xfId="0" applyNumberFormat="1" applyFont="1" applyFill="1" applyBorder="1" applyAlignment="1">
      <alignment horizontal="center" vertical="center"/>
    </xf>
    <xf numFmtId="1" fontId="8" fillId="4" borderId="34" xfId="0" applyNumberFormat="1" applyFont="1" applyFill="1" applyBorder="1" applyAlignment="1">
      <alignment horizontal="center" vertical="center"/>
    </xf>
    <xf numFmtId="41" fontId="8" fillId="4" borderId="6" xfId="0" applyNumberFormat="1" applyFont="1" applyFill="1" applyBorder="1" applyAlignment="1">
      <alignment horizontal="center" vertical="center"/>
    </xf>
    <xf numFmtId="41" fontId="8" fillId="4" borderId="34" xfId="0" applyNumberFormat="1" applyFont="1" applyFill="1" applyBorder="1" applyAlignment="1">
      <alignment horizontal="center" vertical="center"/>
    </xf>
    <xf numFmtId="165" fontId="8" fillId="4" borderId="6" xfId="5" applyNumberFormat="1" applyFont="1" applyFill="1" applyBorder="1" applyAlignment="1">
      <alignment horizontal="center" vertical="center"/>
    </xf>
    <xf numFmtId="165" fontId="8" fillId="4" borderId="34" xfId="5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top"/>
    </xf>
    <xf numFmtId="2" fontId="8" fillId="4" borderId="34" xfId="0" applyNumberFormat="1" applyFont="1" applyFill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65" fontId="8" fillId="4" borderId="6" xfId="4" quotePrefix="1" applyFont="1" applyFill="1" applyBorder="1" applyAlignment="1">
      <alignment horizontal="center" vertical="center" wrapText="1"/>
    </xf>
    <xf numFmtId="165" fontId="8" fillId="4" borderId="34" xfId="4" quotePrefix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34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2" xfId="3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9">
    <cellStyle name="Comma [0]" xfId="1" builtinId="6"/>
    <cellStyle name="Comma [0] 2 2 5" xfId="5"/>
    <cellStyle name="Comma [0] 2 98" xfId="4"/>
    <cellStyle name="Comma 2 2" xfId="6"/>
    <cellStyle name="Normal" xfId="0" builtinId="0"/>
    <cellStyle name="Normal 13" xfId="8"/>
    <cellStyle name="Normal 2 2" xfId="7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77"/>
  <sheetViews>
    <sheetView topLeftCell="C6" zoomScale="118" zoomScaleNormal="118" workbookViewId="0">
      <selection activeCell="L6" sqref="L6:S6"/>
    </sheetView>
  </sheetViews>
  <sheetFormatPr defaultRowHeight="15" x14ac:dyDescent="0.25"/>
  <cols>
    <col min="1" max="1" width="4" customWidth="1"/>
    <col min="2" max="2" width="13.5703125" customWidth="1"/>
    <col min="3" max="3" width="25.42578125" customWidth="1"/>
    <col min="4" max="4" width="23.28515625" customWidth="1"/>
    <col min="5" max="5" width="6.42578125" customWidth="1"/>
    <col min="6" max="6" width="7.140625" customWidth="1"/>
    <col min="7" max="7" width="8.28515625" customWidth="1"/>
    <col min="8" max="8" width="6" customWidth="1"/>
    <col min="9" max="9" width="8" customWidth="1"/>
    <col min="10" max="10" width="6" customWidth="1"/>
    <col min="11" max="11" width="8.5703125" customWidth="1"/>
    <col min="12" max="19" width="6.5703125" customWidth="1"/>
    <col min="20" max="20" width="7.140625" customWidth="1"/>
    <col min="21" max="21" width="7.7109375" customWidth="1"/>
    <col min="22" max="22" width="7.140625" customWidth="1"/>
    <col min="23" max="23" width="7.5703125" customWidth="1"/>
    <col min="24" max="25" width="7.140625" customWidth="1"/>
    <col min="26" max="26" width="11.28515625" customWidth="1"/>
  </cols>
  <sheetData>
    <row r="2" spans="1:29" s="622" customFormat="1" x14ac:dyDescent="0.25">
      <c r="A2" s="692" t="s">
        <v>543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</row>
    <row r="3" spans="1:29" s="622" customFormat="1" x14ac:dyDescent="0.25">
      <c r="A3" s="692" t="s">
        <v>544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</row>
    <row r="4" spans="1:29" s="622" customFormat="1" x14ac:dyDescent="0.25">
      <c r="A4" s="692" t="s">
        <v>542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692"/>
      <c r="Y4" s="692"/>
      <c r="Z4" s="692"/>
    </row>
    <row r="5" spans="1:29" ht="15.75" thickBot="1" x14ac:dyDescent="0.3"/>
    <row r="6" spans="1:29" s="1" customFormat="1" ht="20.100000000000001" customHeight="1" x14ac:dyDescent="0.25">
      <c r="A6" s="740" t="s">
        <v>0</v>
      </c>
      <c r="B6" s="743" t="s">
        <v>27</v>
      </c>
      <c r="C6" s="743" t="s">
        <v>28</v>
      </c>
      <c r="D6" s="743" t="s">
        <v>29</v>
      </c>
      <c r="E6" s="711" t="s">
        <v>549</v>
      </c>
      <c r="F6" s="712"/>
      <c r="G6" s="713"/>
      <c r="H6" s="711" t="s">
        <v>550</v>
      </c>
      <c r="I6" s="713"/>
      <c r="J6" s="711" t="s">
        <v>545</v>
      </c>
      <c r="K6" s="713"/>
      <c r="L6" s="737" t="s">
        <v>30</v>
      </c>
      <c r="M6" s="738"/>
      <c r="N6" s="738"/>
      <c r="O6" s="738"/>
      <c r="P6" s="738"/>
      <c r="Q6" s="738"/>
      <c r="R6" s="738"/>
      <c r="S6" s="739"/>
      <c r="T6" s="711" t="s">
        <v>31</v>
      </c>
      <c r="U6" s="713"/>
      <c r="V6" s="711" t="s">
        <v>32</v>
      </c>
      <c r="W6" s="713"/>
      <c r="X6" s="697" t="s">
        <v>33</v>
      </c>
      <c r="Y6" s="698"/>
      <c r="Z6" s="701" t="s">
        <v>34</v>
      </c>
    </row>
    <row r="7" spans="1:29" s="1" customFormat="1" ht="32.450000000000003" customHeight="1" x14ac:dyDescent="0.25">
      <c r="A7" s="741"/>
      <c r="B7" s="744"/>
      <c r="C7" s="744"/>
      <c r="D7" s="744"/>
      <c r="E7" s="714"/>
      <c r="F7" s="715"/>
      <c r="G7" s="716"/>
      <c r="H7" s="714"/>
      <c r="I7" s="716"/>
      <c r="J7" s="714"/>
      <c r="K7" s="716"/>
      <c r="L7" s="704" t="s">
        <v>35</v>
      </c>
      <c r="M7" s="705"/>
      <c r="N7" s="704" t="s">
        <v>36</v>
      </c>
      <c r="O7" s="705"/>
      <c r="P7" s="704" t="s">
        <v>37</v>
      </c>
      <c r="Q7" s="705"/>
      <c r="R7" s="704" t="s">
        <v>38</v>
      </c>
      <c r="S7" s="705"/>
      <c r="T7" s="714"/>
      <c r="U7" s="716"/>
      <c r="V7" s="714"/>
      <c r="W7" s="716"/>
      <c r="X7" s="699"/>
      <c r="Y7" s="700"/>
      <c r="Z7" s="702"/>
    </row>
    <row r="8" spans="1:29" s="1" customFormat="1" ht="18.600000000000001" customHeight="1" thickBot="1" x14ac:dyDescent="0.3">
      <c r="A8" s="742"/>
      <c r="B8" s="745"/>
      <c r="C8" s="745"/>
      <c r="D8" s="745"/>
      <c r="E8" s="729" t="s">
        <v>39</v>
      </c>
      <c r="F8" s="730"/>
      <c r="G8" s="2" t="s">
        <v>40</v>
      </c>
      <c r="H8" s="2" t="s">
        <v>39</v>
      </c>
      <c r="I8" s="2" t="s">
        <v>40</v>
      </c>
      <c r="J8" s="2" t="s">
        <v>39</v>
      </c>
      <c r="K8" s="3" t="s">
        <v>40</v>
      </c>
      <c r="L8" s="2" t="s">
        <v>39</v>
      </c>
      <c r="M8" s="2" t="s">
        <v>40</v>
      </c>
      <c r="N8" s="2" t="s">
        <v>39</v>
      </c>
      <c r="O8" s="2" t="s">
        <v>40</v>
      </c>
      <c r="P8" s="2" t="s">
        <v>39</v>
      </c>
      <c r="Q8" s="2" t="s">
        <v>40</v>
      </c>
      <c r="R8" s="2" t="s">
        <v>39</v>
      </c>
      <c r="S8" s="2" t="s">
        <v>40</v>
      </c>
      <c r="T8" s="2" t="s">
        <v>39</v>
      </c>
      <c r="U8" s="2" t="s">
        <v>40</v>
      </c>
      <c r="V8" s="4" t="s">
        <v>39</v>
      </c>
      <c r="W8" s="4" t="s">
        <v>40</v>
      </c>
      <c r="X8" s="4" t="s">
        <v>39</v>
      </c>
      <c r="Y8" s="4" t="s">
        <v>41</v>
      </c>
      <c r="Z8" s="703"/>
    </row>
    <row r="9" spans="1:29" ht="20.25" x14ac:dyDescent="0.25">
      <c r="A9" s="731" t="s">
        <v>346</v>
      </c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3"/>
    </row>
    <row r="10" spans="1:29" ht="15.75" x14ac:dyDescent="0.25">
      <c r="A10" s="734" t="s">
        <v>347</v>
      </c>
      <c r="B10" s="735"/>
      <c r="C10" s="735"/>
      <c r="D10" s="735"/>
      <c r="E10" s="735"/>
      <c r="F10" s="735"/>
      <c r="G10" s="735"/>
      <c r="H10" s="735"/>
      <c r="I10" s="735"/>
      <c r="J10" s="735"/>
      <c r="K10" s="735"/>
      <c r="L10" s="735"/>
      <c r="M10" s="735"/>
      <c r="N10" s="735"/>
      <c r="O10" s="735"/>
      <c r="P10" s="735"/>
      <c r="Q10" s="735"/>
      <c r="R10" s="735"/>
      <c r="S10" s="735"/>
      <c r="T10" s="735"/>
      <c r="U10" s="735"/>
      <c r="V10" s="735"/>
      <c r="W10" s="735"/>
      <c r="X10" s="735"/>
      <c r="Y10" s="735"/>
      <c r="Z10" s="736"/>
    </row>
    <row r="11" spans="1:29" ht="63.75" x14ac:dyDescent="0.25">
      <c r="A11" s="408"/>
      <c r="B11" s="383" t="s">
        <v>382</v>
      </c>
      <c r="C11" s="409" t="s">
        <v>24</v>
      </c>
      <c r="D11" s="409" t="s">
        <v>5</v>
      </c>
      <c r="E11" s="410">
        <f>SUM(E12:E25)/SUM(E12:E25)*100</f>
        <v>100</v>
      </c>
      <c r="F11" s="401" t="s">
        <v>50</v>
      </c>
      <c r="G11" s="411">
        <f>SUM(G12:G25)</f>
        <v>5403272.9840000002</v>
      </c>
      <c r="H11" s="410">
        <f>SUM(H12:H25)/SUM(H12:H25)*100</f>
        <v>100</v>
      </c>
      <c r="I11" s="411">
        <f>SUM(I12:I25)</f>
        <v>2577823.6320000002</v>
      </c>
      <c r="J11" s="410">
        <f>SUM(J12:J25)/SUM(J12:J25)*100</f>
        <v>100</v>
      </c>
      <c r="K11" s="460">
        <f>SUM(K12:K25)</f>
        <v>570208.397</v>
      </c>
      <c r="L11" s="410">
        <f>SUM(L12:L25)/SUM(J12:J25)*100</f>
        <v>0</v>
      </c>
      <c r="M11" s="411">
        <f>SUM(M12:M25)</f>
        <v>103484.02</v>
      </c>
      <c r="N11" s="410">
        <f>SUM(N12:N25)/SUM(J12:J25)*100</f>
        <v>0</v>
      </c>
      <c r="O11" s="411">
        <f>SUM(O12:O25)</f>
        <v>0</v>
      </c>
      <c r="P11" s="410">
        <f>SUM(P12:P24)/SUM(J12:J24)*100</f>
        <v>0</v>
      </c>
      <c r="Q11" s="411">
        <f>SUM(Q12:Q25)</f>
        <v>0</v>
      </c>
      <c r="R11" s="410" t="e">
        <f>SUM(R12:R25)/SUM(R12:R25)*100</f>
        <v>#DIV/0!</v>
      </c>
      <c r="S11" s="411">
        <f>SUM(S12:S24)</f>
        <v>0</v>
      </c>
      <c r="T11" s="411" t="e">
        <f t="shared" ref="T11:U26" si="0">L11+N11+P11+R11</f>
        <v>#DIV/0!</v>
      </c>
      <c r="U11" s="460">
        <f t="shared" si="0"/>
        <v>103484.02</v>
      </c>
      <c r="V11" s="412"/>
      <c r="W11" s="412"/>
      <c r="X11" s="401"/>
      <c r="Y11" s="401"/>
      <c r="Z11" s="413"/>
    </row>
    <row r="12" spans="1:29" ht="38.25" customHeight="1" x14ac:dyDescent="0.25">
      <c r="A12" s="414"/>
      <c r="B12" s="710"/>
      <c r="C12" s="400" t="s">
        <v>42</v>
      </c>
      <c r="D12" s="394" t="s">
        <v>398</v>
      </c>
      <c r="E12" s="365">
        <f>12*3</f>
        <v>36</v>
      </c>
      <c r="F12" s="369" t="s">
        <v>337</v>
      </c>
      <c r="G12" s="365">
        <v>235700</v>
      </c>
      <c r="H12" s="370">
        <v>39</v>
      </c>
      <c r="I12" s="370">
        <v>51173.463000000003</v>
      </c>
      <c r="J12" s="370">
        <v>12</v>
      </c>
      <c r="K12" s="365">
        <v>27120</v>
      </c>
      <c r="L12" s="370">
        <v>0</v>
      </c>
      <c r="M12" s="370">
        <v>4930.34</v>
      </c>
      <c r="N12" s="370">
        <v>0</v>
      </c>
      <c r="O12" s="370">
        <v>0</v>
      </c>
      <c r="P12" s="370">
        <v>0</v>
      </c>
      <c r="Q12" s="370">
        <v>0</v>
      </c>
      <c r="R12" s="370">
        <v>0</v>
      </c>
      <c r="S12" s="370">
        <v>0</v>
      </c>
      <c r="T12" s="415">
        <f t="shared" si="0"/>
        <v>0</v>
      </c>
      <c r="U12" s="459">
        <f>M12+O12+Q12+S12</f>
        <v>4930.34</v>
      </c>
      <c r="V12" s="395">
        <f t="shared" ref="V12:W25" si="1">T12+H12</f>
        <v>39</v>
      </c>
      <c r="W12" s="395">
        <f t="shared" si="1"/>
        <v>56103.803</v>
      </c>
      <c r="X12" s="397">
        <f t="shared" ref="X12:X25" si="2">+V12/E12*100</f>
        <v>108.33333333333333</v>
      </c>
      <c r="Y12" s="397">
        <f t="shared" ref="Y12:Y25" si="3">+W12/G12*100</f>
        <v>23.803056003394147</v>
      </c>
      <c r="Z12" s="709" t="s">
        <v>348</v>
      </c>
      <c r="AA12" s="475"/>
    </row>
    <row r="13" spans="1:29" ht="25.5" x14ac:dyDescent="0.25">
      <c r="A13" s="414"/>
      <c r="B13" s="710"/>
      <c r="C13" s="400" t="s">
        <v>43</v>
      </c>
      <c r="D13" s="394" t="s">
        <v>399</v>
      </c>
      <c r="E13" s="365">
        <f>1*3</f>
        <v>3</v>
      </c>
      <c r="F13" s="369" t="s">
        <v>421</v>
      </c>
      <c r="G13" s="365">
        <v>1029050</v>
      </c>
      <c r="H13" s="370">
        <v>39</v>
      </c>
      <c r="I13" s="370">
        <v>573103</v>
      </c>
      <c r="J13" s="370">
        <v>12</v>
      </c>
      <c r="K13" s="365">
        <v>169925</v>
      </c>
      <c r="L13" s="370">
        <v>0</v>
      </c>
      <c r="M13" s="370">
        <v>41190</v>
      </c>
      <c r="N13" s="370">
        <v>0</v>
      </c>
      <c r="O13" s="370">
        <v>0</v>
      </c>
      <c r="P13" s="370">
        <v>0</v>
      </c>
      <c r="Q13" s="370">
        <v>0</v>
      </c>
      <c r="R13" s="370">
        <v>0</v>
      </c>
      <c r="S13" s="370">
        <v>0</v>
      </c>
      <c r="T13" s="415">
        <f t="shared" si="0"/>
        <v>0</v>
      </c>
      <c r="U13" s="370">
        <f t="shared" si="0"/>
        <v>41190</v>
      </c>
      <c r="V13" s="395">
        <f t="shared" si="1"/>
        <v>39</v>
      </c>
      <c r="W13" s="395">
        <f t="shared" si="1"/>
        <v>614293</v>
      </c>
      <c r="X13" s="416">
        <f t="shared" si="2"/>
        <v>1300</v>
      </c>
      <c r="Y13" s="397">
        <f t="shared" si="3"/>
        <v>59.695155726155193</v>
      </c>
      <c r="Z13" s="709"/>
      <c r="AC13">
        <f>4050000+2700000</f>
        <v>6750000</v>
      </c>
    </row>
    <row r="14" spans="1:29" x14ac:dyDescent="0.25">
      <c r="A14" s="414"/>
      <c r="B14" s="464"/>
      <c r="C14" s="399" t="s">
        <v>335</v>
      </c>
      <c r="D14" s="394" t="s">
        <v>393</v>
      </c>
      <c r="E14" s="365">
        <f>4*3</f>
        <v>12</v>
      </c>
      <c r="F14" s="369" t="s">
        <v>422</v>
      </c>
      <c r="G14" s="365">
        <v>150712</v>
      </c>
      <c r="H14" s="370">
        <v>39</v>
      </c>
      <c r="I14" s="370">
        <v>46313.8</v>
      </c>
      <c r="J14" s="370">
        <v>12</v>
      </c>
      <c r="K14" s="365">
        <v>12597.23</v>
      </c>
      <c r="L14" s="370">
        <v>0</v>
      </c>
      <c r="M14" s="370">
        <v>2360.5</v>
      </c>
      <c r="N14" s="370">
        <v>0</v>
      </c>
      <c r="O14" s="370">
        <v>0</v>
      </c>
      <c r="P14" s="370">
        <v>0</v>
      </c>
      <c r="Q14" s="370">
        <v>0</v>
      </c>
      <c r="R14" s="370">
        <v>0</v>
      </c>
      <c r="S14" s="370">
        <v>0</v>
      </c>
      <c r="T14" s="415">
        <f t="shared" si="0"/>
        <v>0</v>
      </c>
      <c r="U14" s="370">
        <f t="shared" si="0"/>
        <v>2360.5</v>
      </c>
      <c r="V14" s="395">
        <f t="shared" si="1"/>
        <v>39</v>
      </c>
      <c r="W14" s="395">
        <f t="shared" si="1"/>
        <v>48674.3</v>
      </c>
      <c r="X14" s="416">
        <f t="shared" si="2"/>
        <v>325</v>
      </c>
      <c r="Y14" s="397">
        <f t="shared" si="3"/>
        <v>32.296233876532725</v>
      </c>
      <c r="Z14" s="709"/>
    </row>
    <row r="15" spans="1:29" ht="25.5" x14ac:dyDescent="0.25">
      <c r="A15" s="414"/>
      <c r="B15" s="464"/>
      <c r="C15" s="399" t="s">
        <v>349</v>
      </c>
      <c r="D15" s="394" t="s">
        <v>402</v>
      </c>
      <c r="E15" s="365">
        <f>30*3</f>
        <v>90</v>
      </c>
      <c r="F15" s="369" t="s">
        <v>423</v>
      </c>
      <c r="G15" s="365">
        <v>200000</v>
      </c>
      <c r="H15" s="370">
        <v>43</v>
      </c>
      <c r="I15" s="370">
        <v>61123</v>
      </c>
      <c r="J15" s="370">
        <v>30</v>
      </c>
      <c r="K15" s="365">
        <v>20500</v>
      </c>
      <c r="L15" s="370">
        <v>0</v>
      </c>
      <c r="M15" s="370">
        <v>3440</v>
      </c>
      <c r="N15" s="370">
        <v>0</v>
      </c>
      <c r="O15" s="370">
        <v>0</v>
      </c>
      <c r="P15" s="370">
        <v>0</v>
      </c>
      <c r="Q15" s="370">
        <v>0</v>
      </c>
      <c r="R15" s="370">
        <v>0</v>
      </c>
      <c r="S15" s="370">
        <v>0</v>
      </c>
      <c r="T15" s="415">
        <f t="shared" si="0"/>
        <v>0</v>
      </c>
      <c r="U15" s="370">
        <f t="shared" si="0"/>
        <v>3440</v>
      </c>
      <c r="V15" s="395">
        <f t="shared" si="1"/>
        <v>43</v>
      </c>
      <c r="W15" s="395">
        <f t="shared" si="1"/>
        <v>64563</v>
      </c>
      <c r="X15" s="416">
        <f t="shared" si="2"/>
        <v>47.777777777777779</v>
      </c>
      <c r="Y15" s="397">
        <f t="shared" si="3"/>
        <v>32.281500000000001</v>
      </c>
      <c r="Z15" s="709"/>
    </row>
    <row r="16" spans="1:29" ht="23.25" customHeight="1" x14ac:dyDescent="0.25">
      <c r="A16" s="414"/>
      <c r="B16" s="463"/>
      <c r="C16" s="399" t="s">
        <v>341</v>
      </c>
      <c r="D16" s="394" t="s">
        <v>400</v>
      </c>
      <c r="E16" s="365">
        <f>1*3</f>
        <v>3</v>
      </c>
      <c r="F16" s="369" t="s">
        <v>424</v>
      </c>
      <c r="G16" s="365">
        <v>326664</v>
      </c>
      <c r="H16" s="370">
        <v>39</v>
      </c>
      <c r="I16" s="370">
        <v>177700.7</v>
      </c>
      <c r="J16" s="370">
        <v>12</v>
      </c>
      <c r="K16" s="365">
        <v>41006.51</v>
      </c>
      <c r="L16" s="370">
        <v>0</v>
      </c>
      <c r="M16" s="370">
        <v>8146.8</v>
      </c>
      <c r="N16" s="370">
        <v>0</v>
      </c>
      <c r="O16" s="370">
        <v>0</v>
      </c>
      <c r="P16" s="370">
        <v>0</v>
      </c>
      <c r="Q16" s="370">
        <v>0</v>
      </c>
      <c r="R16" s="370">
        <v>0</v>
      </c>
      <c r="S16" s="370">
        <v>0</v>
      </c>
      <c r="T16" s="415">
        <f t="shared" si="0"/>
        <v>0</v>
      </c>
      <c r="U16" s="370">
        <f t="shared" si="0"/>
        <v>8146.8</v>
      </c>
      <c r="V16" s="395">
        <f t="shared" si="1"/>
        <v>39</v>
      </c>
      <c r="W16" s="395">
        <f t="shared" si="1"/>
        <v>185847.5</v>
      </c>
      <c r="X16" s="416">
        <f t="shared" si="2"/>
        <v>1300</v>
      </c>
      <c r="Y16" s="397">
        <f t="shared" si="3"/>
        <v>56.892556265765435</v>
      </c>
      <c r="Z16" s="709"/>
    </row>
    <row r="17" spans="1:31" ht="25.5" x14ac:dyDescent="0.25">
      <c r="A17" s="414"/>
      <c r="B17" s="463"/>
      <c r="C17" s="400" t="s">
        <v>350</v>
      </c>
      <c r="D17" s="394" t="s">
        <v>401</v>
      </c>
      <c r="E17" s="365">
        <f>6*3</f>
        <v>18</v>
      </c>
      <c r="F17" s="369" t="s">
        <v>425</v>
      </c>
      <c r="G17" s="365">
        <v>382775</v>
      </c>
      <c r="H17" s="370">
        <v>39</v>
      </c>
      <c r="I17" s="370">
        <v>210033</v>
      </c>
      <c r="J17" s="370">
        <v>12</v>
      </c>
      <c r="K17" s="365">
        <v>34150</v>
      </c>
      <c r="L17" s="370">
        <v>0</v>
      </c>
      <c r="M17" s="370">
        <v>5137.5</v>
      </c>
      <c r="N17" s="370">
        <v>0</v>
      </c>
      <c r="O17" s="370">
        <v>0</v>
      </c>
      <c r="P17" s="370">
        <v>0</v>
      </c>
      <c r="Q17" s="370">
        <v>0</v>
      </c>
      <c r="R17" s="370">
        <v>0</v>
      </c>
      <c r="S17" s="370">
        <v>0</v>
      </c>
      <c r="T17" s="415">
        <f t="shared" si="0"/>
        <v>0</v>
      </c>
      <c r="U17" s="370">
        <f t="shared" si="0"/>
        <v>5137.5</v>
      </c>
      <c r="V17" s="395">
        <f t="shared" si="1"/>
        <v>39</v>
      </c>
      <c r="W17" s="395">
        <f t="shared" si="1"/>
        <v>215170.5</v>
      </c>
      <c r="X17" s="416">
        <f t="shared" si="2"/>
        <v>216.66666666666666</v>
      </c>
      <c r="Y17" s="397">
        <f t="shared" si="3"/>
        <v>56.213310691659593</v>
      </c>
      <c r="Z17" s="709"/>
    </row>
    <row r="18" spans="1:31" ht="31.5" customHeight="1" x14ac:dyDescent="0.25">
      <c r="A18" s="414"/>
      <c r="B18" s="463"/>
      <c r="C18" s="400" t="s">
        <v>351</v>
      </c>
      <c r="D18" s="394" t="s">
        <v>403</v>
      </c>
      <c r="E18" s="365">
        <f>36*3</f>
        <v>108</v>
      </c>
      <c r="F18" s="369" t="s">
        <v>426</v>
      </c>
      <c r="G18" s="365">
        <v>88200</v>
      </c>
      <c r="H18" s="370">
        <v>39</v>
      </c>
      <c r="I18" s="370">
        <v>12924.2</v>
      </c>
      <c r="J18" s="370">
        <v>12</v>
      </c>
      <c r="K18" s="365">
        <v>3409.5</v>
      </c>
      <c r="L18" s="370">
        <v>0</v>
      </c>
      <c r="M18" s="370">
        <v>663.6</v>
      </c>
      <c r="N18" s="370">
        <v>0</v>
      </c>
      <c r="O18" s="370">
        <v>0</v>
      </c>
      <c r="P18" s="370">
        <v>0</v>
      </c>
      <c r="Q18" s="370">
        <v>0</v>
      </c>
      <c r="R18" s="370">
        <v>0</v>
      </c>
      <c r="S18" s="370">
        <v>0</v>
      </c>
      <c r="T18" s="415">
        <f t="shared" si="0"/>
        <v>0</v>
      </c>
      <c r="U18" s="370">
        <f t="shared" si="0"/>
        <v>663.6</v>
      </c>
      <c r="V18" s="395">
        <f t="shared" si="1"/>
        <v>39</v>
      </c>
      <c r="W18" s="395">
        <f t="shared" si="1"/>
        <v>13587.800000000001</v>
      </c>
      <c r="X18" s="416">
        <f t="shared" si="2"/>
        <v>36.111111111111107</v>
      </c>
      <c r="Y18" s="397">
        <f t="shared" si="3"/>
        <v>15.405668934240364</v>
      </c>
      <c r="Z18" s="709"/>
    </row>
    <row r="19" spans="1:31" ht="25.5" x14ac:dyDescent="0.25">
      <c r="A19" s="414"/>
      <c r="B19" s="463"/>
      <c r="C19" s="400" t="s">
        <v>339</v>
      </c>
      <c r="D19" s="394" t="s">
        <v>404</v>
      </c>
      <c r="E19" s="365">
        <f>3*3</f>
        <v>9</v>
      </c>
      <c r="F19" s="369" t="s">
        <v>423</v>
      </c>
      <c r="G19" s="365">
        <v>410000</v>
      </c>
      <c r="H19" s="370">
        <v>39</v>
      </c>
      <c r="I19" s="370">
        <v>195900.522</v>
      </c>
      <c r="J19" s="370">
        <v>12</v>
      </c>
      <c r="K19" s="365">
        <v>6000</v>
      </c>
      <c r="L19" s="370">
        <v>0</v>
      </c>
      <c r="M19" s="370">
        <v>0</v>
      </c>
      <c r="N19" s="370">
        <v>0</v>
      </c>
      <c r="O19" s="370">
        <v>0</v>
      </c>
      <c r="P19" s="370">
        <v>0</v>
      </c>
      <c r="Q19" s="370">
        <v>0</v>
      </c>
      <c r="R19" s="370">
        <v>0</v>
      </c>
      <c r="S19" s="370">
        <v>0</v>
      </c>
      <c r="T19" s="370">
        <f t="shared" ref="T19:T23" si="4">L19+N19+P19+R19</f>
        <v>0</v>
      </c>
      <c r="U19" s="370">
        <f t="shared" si="0"/>
        <v>0</v>
      </c>
      <c r="V19" s="395">
        <f t="shared" si="1"/>
        <v>39</v>
      </c>
      <c r="W19" s="395">
        <f t="shared" si="1"/>
        <v>195900.522</v>
      </c>
      <c r="X19" s="416">
        <f t="shared" si="2"/>
        <v>433.33333333333331</v>
      </c>
      <c r="Y19" s="397">
        <f t="shared" si="3"/>
        <v>47.780615121951222</v>
      </c>
      <c r="Z19" s="709"/>
    </row>
    <row r="20" spans="1:31" ht="25.5" x14ac:dyDescent="0.25">
      <c r="A20" s="414"/>
      <c r="B20" s="463"/>
      <c r="C20" s="400" t="s">
        <v>344</v>
      </c>
      <c r="D20" s="394" t="s">
        <v>405</v>
      </c>
      <c r="E20" s="365">
        <f>12*3</f>
        <v>36</v>
      </c>
      <c r="F20" s="369" t="s">
        <v>422</v>
      </c>
      <c r="G20" s="365">
        <v>110000</v>
      </c>
      <c r="H20" s="370">
        <v>39</v>
      </c>
      <c r="I20" s="370">
        <v>24950</v>
      </c>
      <c r="J20" s="370">
        <v>12</v>
      </c>
      <c r="K20" s="365">
        <v>5000</v>
      </c>
      <c r="L20" s="370">
        <v>0</v>
      </c>
      <c r="M20" s="370">
        <v>800</v>
      </c>
      <c r="N20" s="370">
        <v>0</v>
      </c>
      <c r="O20" s="370">
        <v>0</v>
      </c>
      <c r="P20" s="370">
        <v>0</v>
      </c>
      <c r="Q20" s="370">
        <v>0</v>
      </c>
      <c r="R20" s="370">
        <v>0</v>
      </c>
      <c r="S20" s="370">
        <v>0</v>
      </c>
      <c r="T20" s="370">
        <f t="shared" si="4"/>
        <v>0</v>
      </c>
      <c r="U20" s="370">
        <f t="shared" si="0"/>
        <v>800</v>
      </c>
      <c r="V20" s="395">
        <f t="shared" si="1"/>
        <v>39</v>
      </c>
      <c r="W20" s="395">
        <f t="shared" si="1"/>
        <v>25750</v>
      </c>
      <c r="X20" s="416">
        <f t="shared" si="2"/>
        <v>108.33333333333333</v>
      </c>
      <c r="Y20" s="397">
        <f t="shared" si="3"/>
        <v>23.40909090909091</v>
      </c>
      <c r="Z20" s="709"/>
    </row>
    <row r="21" spans="1:31" ht="25.5" x14ac:dyDescent="0.25">
      <c r="A21" s="414"/>
      <c r="B21" s="463"/>
      <c r="C21" s="400" t="s">
        <v>352</v>
      </c>
      <c r="D21" s="394" t="s">
        <v>353</v>
      </c>
      <c r="E21" s="365">
        <f>1*3</f>
        <v>3</v>
      </c>
      <c r="F21" s="369" t="s">
        <v>424</v>
      </c>
      <c r="G21" s="365">
        <v>143000</v>
      </c>
      <c r="H21" s="370">
        <v>39</v>
      </c>
      <c r="I21" s="370">
        <v>89552.5</v>
      </c>
      <c r="J21" s="370">
        <v>12</v>
      </c>
      <c r="K21" s="365">
        <v>28000</v>
      </c>
      <c r="L21" s="370">
        <v>0</v>
      </c>
      <c r="M21" s="370">
        <v>3920</v>
      </c>
      <c r="N21" s="370">
        <v>0</v>
      </c>
      <c r="O21" s="370">
        <v>0</v>
      </c>
      <c r="P21" s="370">
        <v>0</v>
      </c>
      <c r="Q21" s="370">
        <v>0</v>
      </c>
      <c r="R21" s="370">
        <v>0</v>
      </c>
      <c r="S21" s="370">
        <v>0</v>
      </c>
      <c r="T21" s="370">
        <f t="shared" si="4"/>
        <v>0</v>
      </c>
      <c r="U21" s="370">
        <f t="shared" si="0"/>
        <v>3920</v>
      </c>
      <c r="V21" s="395">
        <f t="shared" si="1"/>
        <v>39</v>
      </c>
      <c r="W21" s="395">
        <f t="shared" si="1"/>
        <v>93472.5</v>
      </c>
      <c r="X21" s="416">
        <f t="shared" si="2"/>
        <v>1300</v>
      </c>
      <c r="Y21" s="397">
        <f t="shared" si="3"/>
        <v>65.365384615384613</v>
      </c>
      <c r="Z21" s="709"/>
    </row>
    <row r="22" spans="1:31" ht="25.5" x14ac:dyDescent="0.25">
      <c r="A22" s="414"/>
      <c r="B22" s="463"/>
      <c r="C22" s="400" t="s">
        <v>354</v>
      </c>
      <c r="D22" s="394" t="s">
        <v>406</v>
      </c>
      <c r="E22" s="365">
        <f>1*3</f>
        <v>3</v>
      </c>
      <c r="F22" s="369" t="s">
        <v>424</v>
      </c>
      <c r="G22" s="365">
        <v>1263571.9839999999</v>
      </c>
      <c r="H22" s="370">
        <v>39</v>
      </c>
      <c r="I22" s="370">
        <v>701914.44700000004</v>
      </c>
      <c r="J22" s="370">
        <v>12</v>
      </c>
      <c r="K22" s="365">
        <v>101850.15700000001</v>
      </c>
      <c r="L22" s="370">
        <v>0</v>
      </c>
      <c r="M22" s="370">
        <v>15760.28</v>
      </c>
      <c r="N22" s="370">
        <v>0</v>
      </c>
      <c r="O22" s="370">
        <v>0</v>
      </c>
      <c r="P22" s="370">
        <v>0</v>
      </c>
      <c r="Q22" s="370">
        <v>0</v>
      </c>
      <c r="R22" s="370">
        <v>0</v>
      </c>
      <c r="S22" s="370">
        <v>0</v>
      </c>
      <c r="T22" s="370">
        <f t="shared" si="4"/>
        <v>0</v>
      </c>
      <c r="U22" s="370">
        <f t="shared" si="0"/>
        <v>15760.28</v>
      </c>
      <c r="V22" s="395">
        <f t="shared" si="1"/>
        <v>39</v>
      </c>
      <c r="W22" s="395">
        <f t="shared" si="1"/>
        <v>717674.72700000007</v>
      </c>
      <c r="X22" s="416">
        <f t="shared" si="2"/>
        <v>1300</v>
      </c>
      <c r="Y22" s="397">
        <f t="shared" si="3"/>
        <v>56.797296559876884</v>
      </c>
      <c r="Z22" s="709"/>
    </row>
    <row r="23" spans="1:31" x14ac:dyDescent="0.25">
      <c r="A23" s="414"/>
      <c r="B23" s="463"/>
      <c r="C23" s="400" t="s">
        <v>355</v>
      </c>
      <c r="D23" s="394" t="s">
        <v>407</v>
      </c>
      <c r="E23" s="365">
        <f>11*3</f>
        <v>33</v>
      </c>
      <c r="F23" s="369" t="s">
        <v>422</v>
      </c>
      <c r="G23" s="365">
        <v>561600</v>
      </c>
      <c r="H23" s="370">
        <v>201</v>
      </c>
      <c r="I23" s="370">
        <v>219440</v>
      </c>
      <c r="J23" s="370">
        <v>11</v>
      </c>
      <c r="K23" s="365">
        <v>93650</v>
      </c>
      <c r="L23" s="370">
        <v>0</v>
      </c>
      <c r="M23" s="370">
        <v>16800</v>
      </c>
      <c r="N23" s="370">
        <v>0</v>
      </c>
      <c r="O23" s="370">
        <v>0</v>
      </c>
      <c r="P23" s="370">
        <v>0</v>
      </c>
      <c r="Q23" s="370">
        <v>0</v>
      </c>
      <c r="R23" s="370">
        <v>0</v>
      </c>
      <c r="S23" s="370">
        <v>0</v>
      </c>
      <c r="T23" s="370">
        <f t="shared" si="4"/>
        <v>0</v>
      </c>
      <c r="U23" s="370">
        <f t="shared" si="0"/>
        <v>16800</v>
      </c>
      <c r="V23" s="395">
        <f t="shared" si="1"/>
        <v>201</v>
      </c>
      <c r="W23" s="395">
        <f t="shared" si="1"/>
        <v>236240</v>
      </c>
      <c r="X23" s="416">
        <f t="shared" si="2"/>
        <v>609.09090909090912</v>
      </c>
      <c r="Y23" s="397">
        <f t="shared" si="3"/>
        <v>42.065527065527064</v>
      </c>
      <c r="Z23" s="709"/>
      <c r="AE23">
        <f>4050000+2700000</f>
        <v>6750000</v>
      </c>
    </row>
    <row r="24" spans="1:31" ht="25.5" x14ac:dyDescent="0.25">
      <c r="A24" s="414"/>
      <c r="B24" s="463"/>
      <c r="C24" s="400" t="s">
        <v>44</v>
      </c>
      <c r="D24" s="394" t="s">
        <v>408</v>
      </c>
      <c r="E24" s="365">
        <f>1*3</f>
        <v>3</v>
      </c>
      <c r="F24" s="369" t="s">
        <v>424</v>
      </c>
      <c r="G24" s="365">
        <v>487000</v>
      </c>
      <c r="H24" s="370">
        <v>39</v>
      </c>
      <c r="I24" s="370">
        <v>213695</v>
      </c>
      <c r="J24" s="370">
        <v>12</v>
      </c>
      <c r="K24" s="365">
        <v>25000</v>
      </c>
      <c r="L24" s="370">
        <v>0</v>
      </c>
      <c r="M24" s="370">
        <v>335</v>
      </c>
      <c r="N24" s="370">
        <v>0</v>
      </c>
      <c r="O24" s="370">
        <v>0</v>
      </c>
      <c r="P24" s="370">
        <v>0</v>
      </c>
      <c r="Q24" s="370">
        <v>0</v>
      </c>
      <c r="R24" s="370">
        <v>0</v>
      </c>
      <c r="S24" s="370">
        <v>0</v>
      </c>
      <c r="T24" s="370">
        <f>L24+N24+P24+R24</f>
        <v>0</v>
      </c>
      <c r="U24" s="370">
        <f t="shared" si="0"/>
        <v>335</v>
      </c>
      <c r="V24" s="395">
        <f t="shared" si="1"/>
        <v>39</v>
      </c>
      <c r="W24" s="395">
        <f t="shared" si="1"/>
        <v>214030</v>
      </c>
      <c r="X24" s="416">
        <f t="shared" si="2"/>
        <v>1300</v>
      </c>
      <c r="Y24" s="397">
        <f t="shared" si="3"/>
        <v>43.948665297741272</v>
      </c>
      <c r="Z24" s="709"/>
    </row>
    <row r="25" spans="1:31" x14ac:dyDescent="0.25">
      <c r="A25" s="414"/>
      <c r="B25" s="463"/>
      <c r="C25" s="400" t="s">
        <v>342</v>
      </c>
      <c r="D25" s="394" t="s">
        <v>409</v>
      </c>
      <c r="E25" s="365">
        <f>1*3</f>
        <v>3</v>
      </c>
      <c r="F25" s="369" t="s">
        <v>337</v>
      </c>
      <c r="G25" s="365">
        <v>15000</v>
      </c>
      <c r="H25" s="365">
        <v>0</v>
      </c>
      <c r="I25" s="365">
        <v>0</v>
      </c>
      <c r="J25" s="365">
        <v>1</v>
      </c>
      <c r="K25" s="365">
        <v>2000</v>
      </c>
      <c r="L25" s="365">
        <v>0</v>
      </c>
      <c r="M25" s="365">
        <v>0</v>
      </c>
      <c r="N25" s="370">
        <v>0</v>
      </c>
      <c r="O25" s="365">
        <v>0</v>
      </c>
      <c r="P25" s="370">
        <v>0</v>
      </c>
      <c r="Q25" s="370">
        <v>0</v>
      </c>
      <c r="R25" s="370">
        <v>0</v>
      </c>
      <c r="S25" s="370">
        <v>0</v>
      </c>
      <c r="T25" s="370">
        <f>L25+N25+P25+R25</f>
        <v>0</v>
      </c>
      <c r="U25" s="370">
        <f t="shared" si="0"/>
        <v>0</v>
      </c>
      <c r="V25" s="395">
        <f t="shared" si="1"/>
        <v>0</v>
      </c>
      <c r="W25" s="395">
        <f t="shared" si="1"/>
        <v>0</v>
      </c>
      <c r="X25" s="416">
        <f t="shared" si="2"/>
        <v>0</v>
      </c>
      <c r="Y25" s="397">
        <f t="shared" si="3"/>
        <v>0</v>
      </c>
      <c r="Z25" s="417"/>
    </row>
    <row r="26" spans="1:31" x14ac:dyDescent="0.25">
      <c r="A26" s="414"/>
      <c r="B26" s="463"/>
      <c r="C26" s="723" t="s">
        <v>45</v>
      </c>
      <c r="D26" s="724"/>
      <c r="E26" s="724"/>
      <c r="F26" s="724"/>
      <c r="G26" s="724"/>
      <c r="H26" s="724"/>
      <c r="I26" s="724"/>
      <c r="J26" s="724"/>
      <c r="K26" s="725"/>
      <c r="L26" s="407">
        <f>L11</f>
        <v>0</v>
      </c>
      <c r="M26" s="407">
        <f>M11/K11*100</f>
        <v>18.14845599336202</v>
      </c>
      <c r="N26" s="407">
        <f>N11</f>
        <v>0</v>
      </c>
      <c r="O26" s="407">
        <f>O11/K11*100</f>
        <v>0</v>
      </c>
      <c r="P26" s="407">
        <f>P11</f>
        <v>0</v>
      </c>
      <c r="Q26" s="407">
        <f>Q11/K11*100</f>
        <v>0</v>
      </c>
      <c r="R26" s="407" t="e">
        <f>R11</f>
        <v>#DIV/0!</v>
      </c>
      <c r="S26" s="407">
        <f>S11/K11*100</f>
        <v>0</v>
      </c>
      <c r="T26" s="407">
        <v>100</v>
      </c>
      <c r="U26" s="407">
        <f t="shared" si="0"/>
        <v>18.14845599336202</v>
      </c>
      <c r="V26" s="392"/>
      <c r="W26" s="392"/>
      <c r="X26" s="392">
        <f>SUM(X12:X24)/13</f>
        <v>644.97280497280508</v>
      </c>
      <c r="Y26" s="392">
        <f>SUM(Y12:Y24)/13</f>
        <v>42.765697005178417</v>
      </c>
      <c r="Z26" s="418"/>
    </row>
    <row r="27" spans="1:31" x14ac:dyDescent="0.25">
      <c r="A27" s="414"/>
      <c r="B27" s="463"/>
      <c r="C27" s="723" t="s">
        <v>46</v>
      </c>
      <c r="D27" s="724"/>
      <c r="E27" s="724"/>
      <c r="F27" s="724"/>
      <c r="G27" s="724"/>
      <c r="H27" s="724"/>
      <c r="I27" s="724"/>
      <c r="J27" s="724"/>
      <c r="K27" s="725"/>
      <c r="L27" s="375" t="s">
        <v>52</v>
      </c>
      <c r="M27" s="375" t="s">
        <v>47</v>
      </c>
      <c r="N27" s="375" t="s">
        <v>52</v>
      </c>
      <c r="O27" s="375" t="s">
        <v>52</v>
      </c>
      <c r="P27" s="375"/>
      <c r="Q27" s="375"/>
      <c r="R27" s="375"/>
      <c r="S27" s="375"/>
      <c r="T27" s="375" t="s">
        <v>52</v>
      </c>
      <c r="U27" s="375" t="s">
        <v>52</v>
      </c>
      <c r="V27" s="375"/>
      <c r="W27" s="373"/>
      <c r="X27" s="373"/>
      <c r="Y27" s="373"/>
      <c r="Z27" s="418"/>
    </row>
    <row r="28" spans="1:31" ht="25.5" x14ac:dyDescent="0.25">
      <c r="A28" s="414"/>
      <c r="B28" s="463"/>
      <c r="C28" s="376" t="s">
        <v>49</v>
      </c>
      <c r="D28" s="376" t="s">
        <v>340</v>
      </c>
      <c r="E28" s="363">
        <f>SUM(E29:E29)/SUM(E29:E29)*100</f>
        <v>100</v>
      </c>
      <c r="F28" s="362" t="s">
        <v>50</v>
      </c>
      <c r="G28" s="406">
        <f>SUM(G29:G29)</f>
        <v>714500</v>
      </c>
      <c r="H28" s="363">
        <f>SUM(H29:H29)/SUM(H29:H29)*100</f>
        <v>100</v>
      </c>
      <c r="I28" s="406">
        <f>SUM(I29:I29)</f>
        <v>340721.36</v>
      </c>
      <c r="J28" s="363">
        <f>SUM(J29:J29)/SUM(J29:J29)*100</f>
        <v>100</v>
      </c>
      <c r="K28" s="406">
        <f>SUM(K29:K29)</f>
        <v>98920</v>
      </c>
      <c r="L28" s="384">
        <f>((L29)/(J29))*100</f>
        <v>0</v>
      </c>
      <c r="M28" s="406">
        <f>SUM(M29:M29)</f>
        <v>16503</v>
      </c>
      <c r="N28" s="384">
        <f>((N29)/(J29))*100</f>
        <v>0</v>
      </c>
      <c r="O28" s="406">
        <f>SUM(O29:O29)</f>
        <v>0</v>
      </c>
      <c r="P28" s="384">
        <f>((P29)/(J29))*100</f>
        <v>0</v>
      </c>
      <c r="Q28" s="406">
        <f>SUM(Q29:Q29)</f>
        <v>0</v>
      </c>
      <c r="R28" s="384">
        <f>((R29)/(J29))*100</f>
        <v>0</v>
      </c>
      <c r="S28" s="406">
        <f>SUM(S29:S29)</f>
        <v>0</v>
      </c>
      <c r="T28" s="406">
        <f>L28+N28+P28+R28</f>
        <v>0</v>
      </c>
      <c r="U28" s="406">
        <f>M28+O28+Q28+S28</f>
        <v>16503</v>
      </c>
      <c r="V28" s="393"/>
      <c r="W28" s="393"/>
      <c r="X28" s="362"/>
      <c r="Y28" s="362"/>
      <c r="Z28" s="419"/>
    </row>
    <row r="29" spans="1:31" ht="25.5" x14ac:dyDescent="0.25">
      <c r="A29" s="414"/>
      <c r="B29" s="463"/>
      <c r="C29" s="420" t="s">
        <v>356</v>
      </c>
      <c r="D29" s="421" t="s">
        <v>415</v>
      </c>
      <c r="E29" s="422">
        <f>6*3</f>
        <v>18</v>
      </c>
      <c r="F29" s="423" t="s">
        <v>135</v>
      </c>
      <c r="G29" s="371">
        <v>714500</v>
      </c>
      <c r="H29" s="422">
        <v>27</v>
      </c>
      <c r="I29" s="422">
        <v>340721.36</v>
      </c>
      <c r="J29" s="422">
        <v>6</v>
      </c>
      <c r="K29" s="371">
        <v>98920</v>
      </c>
      <c r="L29" s="422">
        <v>0</v>
      </c>
      <c r="M29" s="422">
        <v>16503</v>
      </c>
      <c r="N29" s="422">
        <v>0</v>
      </c>
      <c r="O29" s="422">
        <v>0</v>
      </c>
      <c r="P29" s="422">
        <v>0</v>
      </c>
      <c r="Q29" s="422">
        <v>0</v>
      </c>
      <c r="R29" s="424">
        <v>0</v>
      </c>
      <c r="S29" s="424">
        <v>0</v>
      </c>
      <c r="T29" s="425">
        <f>L29+N29+P29+R29</f>
        <v>0</v>
      </c>
      <c r="U29" s="425">
        <f>M29+O29+Q29+S29</f>
        <v>16503</v>
      </c>
      <c r="V29" s="426">
        <f>T29+H29</f>
        <v>27</v>
      </c>
      <c r="W29" s="426">
        <f>U29+I29</f>
        <v>357224.36</v>
      </c>
      <c r="X29" s="427">
        <f>+V29/E29*100</f>
        <v>150</v>
      </c>
      <c r="Y29" s="427">
        <f>+W29/G29*100</f>
        <v>49.996411476557029</v>
      </c>
      <c r="Z29" s="746" t="s">
        <v>357</v>
      </c>
    </row>
    <row r="30" spans="1:31" x14ac:dyDescent="0.25">
      <c r="A30" s="414"/>
      <c r="B30" s="463"/>
      <c r="C30" s="723" t="s">
        <v>45</v>
      </c>
      <c r="D30" s="724"/>
      <c r="E30" s="724"/>
      <c r="F30" s="724"/>
      <c r="G30" s="724"/>
      <c r="H30" s="724"/>
      <c r="I30" s="724"/>
      <c r="J30" s="724"/>
      <c r="K30" s="725"/>
      <c r="L30" s="372">
        <f>L28</f>
        <v>0</v>
      </c>
      <c r="M30" s="372">
        <f>M28/K28*100</f>
        <v>16.683178325919933</v>
      </c>
      <c r="N30" s="372">
        <f>N28</f>
        <v>0</v>
      </c>
      <c r="O30" s="372">
        <f>O28/K28*100</f>
        <v>0</v>
      </c>
      <c r="P30" s="372">
        <f>P28</f>
        <v>0</v>
      </c>
      <c r="Q30" s="372">
        <f>Q28/K28*100</f>
        <v>0</v>
      </c>
      <c r="R30" s="372">
        <f>R28</f>
        <v>0</v>
      </c>
      <c r="S30" s="372">
        <f>S28/K28*100</f>
        <v>0</v>
      </c>
      <c r="T30" s="372">
        <f>(L30+N30+P30+R30)</f>
        <v>0</v>
      </c>
      <c r="U30" s="372">
        <f>M30+O30+Q30+S30</f>
        <v>16.683178325919933</v>
      </c>
      <c r="V30" s="373"/>
      <c r="W30" s="373"/>
      <c r="X30" s="373">
        <f>SUM(X29:X29)/1</f>
        <v>150</v>
      </c>
      <c r="Y30" s="373">
        <f>SUM(Y29:Y29)/1</f>
        <v>49.996411476557029</v>
      </c>
      <c r="Z30" s="747"/>
    </row>
    <row r="31" spans="1:31" x14ac:dyDescent="0.25">
      <c r="A31" s="414"/>
      <c r="B31" s="463"/>
      <c r="C31" s="723" t="s">
        <v>46</v>
      </c>
      <c r="D31" s="724"/>
      <c r="E31" s="724"/>
      <c r="F31" s="724"/>
      <c r="G31" s="724"/>
      <c r="H31" s="724"/>
      <c r="I31" s="724"/>
      <c r="J31" s="724"/>
      <c r="K31" s="725"/>
      <c r="L31" s="375" t="s">
        <v>51</v>
      </c>
      <c r="M31" s="375" t="s">
        <v>47</v>
      </c>
      <c r="N31" s="375" t="s">
        <v>51</v>
      </c>
      <c r="O31" s="375" t="s">
        <v>47</v>
      </c>
      <c r="P31" s="375"/>
      <c r="Q31" s="375"/>
      <c r="R31" s="375"/>
      <c r="S31" s="375"/>
      <c r="T31" s="375" t="s">
        <v>51</v>
      </c>
      <c r="U31" s="375" t="s">
        <v>47</v>
      </c>
      <c r="V31" s="375"/>
      <c r="W31" s="373"/>
      <c r="X31" s="373"/>
      <c r="Y31" s="373"/>
      <c r="Z31" s="748"/>
    </row>
    <row r="32" spans="1:31" ht="25.5" x14ac:dyDescent="0.25">
      <c r="A32" s="414"/>
      <c r="B32" s="463"/>
      <c r="C32" s="376" t="s">
        <v>358</v>
      </c>
      <c r="D32" s="376" t="s">
        <v>336</v>
      </c>
      <c r="E32" s="363">
        <f>SUM(E33:E33)/SUM(E33:E33)*100</f>
        <v>100</v>
      </c>
      <c r="F32" s="362" t="s">
        <v>50</v>
      </c>
      <c r="G32" s="406">
        <f>SUM(G33:G33)</f>
        <v>133150</v>
      </c>
      <c r="H32" s="363">
        <f>SUM(H33:H33)/SUM(H33:H33)*100</f>
        <v>100</v>
      </c>
      <c r="I32" s="406">
        <f>SUM(I33:I33)</f>
        <v>39390</v>
      </c>
      <c r="J32" s="363">
        <f>SUM(J33:J33)/SUM(J33:J33)*100</f>
        <v>100</v>
      </c>
      <c r="K32" s="406">
        <f>SUM(K33:K33)</f>
        <v>0</v>
      </c>
      <c r="L32" s="384">
        <f>((L33)/(J33))*100</f>
        <v>0</v>
      </c>
      <c r="M32" s="406">
        <f>M33</f>
        <v>0</v>
      </c>
      <c r="N32" s="384">
        <f>((N33)/(J33))*100</f>
        <v>0</v>
      </c>
      <c r="O32" s="406">
        <f>O33</f>
        <v>0</v>
      </c>
      <c r="P32" s="384">
        <f>((P33)/(J33))*100</f>
        <v>0</v>
      </c>
      <c r="Q32" s="406">
        <f>Q33</f>
        <v>0</v>
      </c>
      <c r="R32" s="384" t="e">
        <f>R33/R33*100</f>
        <v>#DIV/0!</v>
      </c>
      <c r="S32" s="406">
        <f>S33</f>
        <v>0</v>
      </c>
      <c r="T32" s="406" t="e">
        <f>L32+N32+P32+R32</f>
        <v>#DIV/0!</v>
      </c>
      <c r="U32" s="406">
        <f>M32+O32+Q32+S32</f>
        <v>0</v>
      </c>
      <c r="V32" s="393"/>
      <c r="W32" s="393"/>
      <c r="X32" s="362"/>
      <c r="Y32" s="362"/>
      <c r="Z32" s="419"/>
    </row>
    <row r="33" spans="1:26" ht="25.5" x14ac:dyDescent="0.25">
      <c r="A33" s="414"/>
      <c r="B33" s="463"/>
      <c r="C33" s="428" t="s">
        <v>345</v>
      </c>
      <c r="D33" s="421" t="s">
        <v>416</v>
      </c>
      <c r="E33" s="422">
        <f>24*3</f>
        <v>72</v>
      </c>
      <c r="F33" s="423" t="s">
        <v>427</v>
      </c>
      <c r="G33" s="371">
        <v>133150</v>
      </c>
      <c r="H33" s="422">
        <v>70</v>
      </c>
      <c r="I33" s="422">
        <v>39390</v>
      </c>
      <c r="J33" s="422">
        <v>26</v>
      </c>
      <c r="K33" s="371">
        <v>0</v>
      </c>
      <c r="L33" s="422">
        <v>0</v>
      </c>
      <c r="M33" s="424">
        <v>0</v>
      </c>
      <c r="N33" s="424">
        <v>0</v>
      </c>
      <c r="O33" s="424">
        <v>0</v>
      </c>
      <c r="P33" s="424"/>
      <c r="Q33" s="422">
        <f>0-M33-O33</f>
        <v>0</v>
      </c>
      <c r="R33" s="424">
        <v>0</v>
      </c>
      <c r="S33" s="424">
        <v>0</v>
      </c>
      <c r="T33" s="425">
        <f>L33+N33+P33+R33</f>
        <v>0</v>
      </c>
      <c r="U33" s="425">
        <f>M33+O33+Q33+S33</f>
        <v>0</v>
      </c>
      <c r="V33" s="426">
        <f>T33+H33</f>
        <v>70</v>
      </c>
      <c r="W33" s="426">
        <f>U33+I33</f>
        <v>39390</v>
      </c>
      <c r="X33" s="427">
        <f>+V33/E33*100</f>
        <v>97.222222222222214</v>
      </c>
      <c r="Y33" s="427">
        <f>+W33/G33*100</f>
        <v>29.583176868193767</v>
      </c>
      <c r="Z33" s="749" t="s">
        <v>357</v>
      </c>
    </row>
    <row r="34" spans="1:26" x14ac:dyDescent="0.25">
      <c r="A34" s="414"/>
      <c r="B34" s="463"/>
      <c r="C34" s="723" t="s">
        <v>45</v>
      </c>
      <c r="D34" s="724"/>
      <c r="E34" s="724"/>
      <c r="F34" s="724"/>
      <c r="G34" s="724"/>
      <c r="H34" s="724"/>
      <c r="I34" s="724"/>
      <c r="J34" s="724"/>
      <c r="K34" s="725"/>
      <c r="L34" s="372">
        <f>L32</f>
        <v>0</v>
      </c>
      <c r="M34" s="372" t="e">
        <f>M32/K32*100</f>
        <v>#DIV/0!</v>
      </c>
      <c r="N34" s="372">
        <f>N32</f>
        <v>0</v>
      </c>
      <c r="O34" s="372" t="e">
        <f>O32/K32*100</f>
        <v>#DIV/0!</v>
      </c>
      <c r="P34" s="372">
        <f>P32</f>
        <v>0</v>
      </c>
      <c r="Q34" s="372" t="e">
        <f>Q32/K32*100</f>
        <v>#DIV/0!</v>
      </c>
      <c r="R34" s="372" t="e">
        <f>R32</f>
        <v>#DIV/0!</v>
      </c>
      <c r="S34" s="372" t="e">
        <f>S32/K32*100</f>
        <v>#DIV/0!</v>
      </c>
      <c r="T34" s="372" t="e">
        <f>(L34+N34+P34+R34)</f>
        <v>#DIV/0!</v>
      </c>
      <c r="U34" s="372" t="e">
        <f>M34+O34+Q34+S34</f>
        <v>#DIV/0!</v>
      </c>
      <c r="V34" s="373"/>
      <c r="W34" s="373"/>
      <c r="X34" s="373">
        <f>SUM(X33:X33)/1</f>
        <v>97.222222222222214</v>
      </c>
      <c r="Y34" s="373">
        <f>SUM(Y33:Y33)/1</f>
        <v>29.583176868193767</v>
      </c>
      <c r="Z34" s="750"/>
    </row>
    <row r="35" spans="1:26" x14ac:dyDescent="0.25">
      <c r="A35" s="414"/>
      <c r="B35" s="463"/>
      <c r="C35" s="723" t="s">
        <v>46</v>
      </c>
      <c r="D35" s="724"/>
      <c r="E35" s="724"/>
      <c r="F35" s="724"/>
      <c r="G35" s="724"/>
      <c r="H35" s="724"/>
      <c r="I35" s="724"/>
      <c r="J35" s="724"/>
      <c r="K35" s="725"/>
      <c r="L35" s="375" t="s">
        <v>51</v>
      </c>
      <c r="M35" s="375" t="s">
        <v>51</v>
      </c>
      <c r="N35" s="375" t="s">
        <v>51</v>
      </c>
      <c r="O35" s="375" t="s">
        <v>51</v>
      </c>
      <c r="P35" s="375" t="s">
        <v>52</v>
      </c>
      <c r="Q35" s="375" t="s">
        <v>52</v>
      </c>
      <c r="R35" s="375"/>
      <c r="S35" s="375"/>
      <c r="T35" s="375" t="s">
        <v>51</v>
      </c>
      <c r="U35" s="375" t="s">
        <v>51</v>
      </c>
      <c r="V35" s="375"/>
      <c r="W35" s="373"/>
      <c r="X35" s="373"/>
      <c r="Y35" s="373"/>
      <c r="Z35" s="751"/>
    </row>
    <row r="36" spans="1:26" ht="25.5" x14ac:dyDescent="0.25">
      <c r="A36" s="414"/>
      <c r="B36" s="463"/>
      <c r="C36" s="376" t="s">
        <v>25</v>
      </c>
      <c r="D36" s="376" t="s">
        <v>359</v>
      </c>
      <c r="E36" s="363">
        <f>SUM(E37:E37)/SUM(E37:E37)*100</f>
        <v>100</v>
      </c>
      <c r="F36" s="362" t="s">
        <v>50</v>
      </c>
      <c r="G36" s="406">
        <f>SUM(G37:G37)</f>
        <v>703000</v>
      </c>
      <c r="H36" s="363">
        <f>SUM(H37:H37)/SUM(H37:H37)*100</f>
        <v>100</v>
      </c>
      <c r="I36" s="406">
        <f>SUM(I37:I37)</f>
        <v>317250</v>
      </c>
      <c r="J36" s="363">
        <f>SUM(J37:J37)/SUM(J37:J37)*100</f>
        <v>100</v>
      </c>
      <c r="K36" s="406">
        <f>SUM(K37:K37)</f>
        <v>8000</v>
      </c>
      <c r="L36" s="384">
        <f>((L37)/(J37))*100</f>
        <v>0</v>
      </c>
      <c r="M36" s="406">
        <f>SUM(M37:M37)</f>
        <v>0</v>
      </c>
      <c r="N36" s="384">
        <f>((N37)/(J37))*100</f>
        <v>0</v>
      </c>
      <c r="O36" s="406">
        <f>SUM(O37:O37)</f>
        <v>0</v>
      </c>
      <c r="P36" s="384">
        <f>((P37)/(J37))*100</f>
        <v>0</v>
      </c>
      <c r="Q36" s="406">
        <f>SUM(Q37:Q37)</f>
        <v>0</v>
      </c>
      <c r="R36" s="384" t="e">
        <f>R37/R37*100</f>
        <v>#DIV/0!</v>
      </c>
      <c r="S36" s="406">
        <f>SUM(S37:S37)</f>
        <v>0</v>
      </c>
      <c r="T36" s="406" t="e">
        <f>L36+N36+P36+R36</f>
        <v>#DIV/0!</v>
      </c>
      <c r="U36" s="406">
        <f>M36+O36+Q36+S36</f>
        <v>0</v>
      </c>
      <c r="V36" s="393"/>
      <c r="W36" s="393"/>
      <c r="X36" s="362"/>
      <c r="Y36" s="362"/>
      <c r="Z36" s="377"/>
    </row>
    <row r="37" spans="1:26" x14ac:dyDescent="0.25">
      <c r="A37" s="414"/>
      <c r="B37" s="463"/>
      <c r="C37" s="390" t="s">
        <v>54</v>
      </c>
      <c r="D37" s="429" t="s">
        <v>417</v>
      </c>
      <c r="E37" s="371">
        <f>5*3</f>
        <v>15</v>
      </c>
      <c r="F37" s="423" t="s">
        <v>428</v>
      </c>
      <c r="G37" s="371">
        <v>703000</v>
      </c>
      <c r="H37" s="422">
        <v>40</v>
      </c>
      <c r="I37" s="422">
        <v>317250</v>
      </c>
      <c r="J37" s="425">
        <v>20</v>
      </c>
      <c r="K37" s="430">
        <v>8000</v>
      </c>
      <c r="L37" s="424">
        <v>0</v>
      </c>
      <c r="M37" s="424">
        <v>0</v>
      </c>
      <c r="N37" s="424">
        <v>0</v>
      </c>
      <c r="O37" s="424">
        <v>0</v>
      </c>
      <c r="P37" s="424">
        <v>0</v>
      </c>
      <c r="Q37" s="424">
        <v>0</v>
      </c>
      <c r="R37" s="424">
        <v>0</v>
      </c>
      <c r="S37" s="424">
        <v>0</v>
      </c>
      <c r="T37" s="425">
        <f>L37+N37+P37+R37</f>
        <v>0</v>
      </c>
      <c r="U37" s="425">
        <f>M37+O37+Q37+S37</f>
        <v>0</v>
      </c>
      <c r="V37" s="426">
        <f>T37+H37</f>
        <v>40</v>
      </c>
      <c r="W37" s="426">
        <f>U37+I37</f>
        <v>317250</v>
      </c>
      <c r="X37" s="427">
        <f>+V37/E37*100</f>
        <v>266.66666666666663</v>
      </c>
      <c r="Y37" s="427">
        <f>+W37/G37*100</f>
        <v>45.128022759601706</v>
      </c>
      <c r="Z37" s="749" t="s">
        <v>357</v>
      </c>
    </row>
    <row r="38" spans="1:26" x14ac:dyDescent="0.25">
      <c r="A38" s="414"/>
      <c r="B38" s="463"/>
      <c r="C38" s="723" t="s">
        <v>45</v>
      </c>
      <c r="D38" s="724"/>
      <c r="E38" s="724"/>
      <c r="F38" s="724"/>
      <c r="G38" s="724"/>
      <c r="H38" s="724"/>
      <c r="I38" s="724"/>
      <c r="J38" s="724"/>
      <c r="K38" s="725"/>
      <c r="L38" s="372">
        <f>L36</f>
        <v>0</v>
      </c>
      <c r="M38" s="372">
        <f>M36/K36*100</f>
        <v>0</v>
      </c>
      <c r="N38" s="372">
        <f>N36</f>
        <v>0</v>
      </c>
      <c r="O38" s="372">
        <f>O36/K36*100</f>
        <v>0</v>
      </c>
      <c r="P38" s="372">
        <f>P36</f>
        <v>0</v>
      </c>
      <c r="Q38" s="372">
        <f>Q36/K36*100</f>
        <v>0</v>
      </c>
      <c r="R38" s="372" t="e">
        <f>R36</f>
        <v>#DIV/0!</v>
      </c>
      <c r="S38" s="372">
        <f>S36/K36*100</f>
        <v>0</v>
      </c>
      <c r="T38" s="372" t="e">
        <f>(L38+N38+P38+R38)</f>
        <v>#DIV/0!</v>
      </c>
      <c r="U38" s="372">
        <f>M38+O38+Q38+S38</f>
        <v>0</v>
      </c>
      <c r="V38" s="373"/>
      <c r="W38" s="373"/>
      <c r="X38" s="373">
        <f>SUM(X37:X37)/1</f>
        <v>266.66666666666663</v>
      </c>
      <c r="Y38" s="373">
        <f>SUM(Y37:Y37)/1</f>
        <v>45.128022759601706</v>
      </c>
      <c r="Z38" s="750"/>
    </row>
    <row r="39" spans="1:26" x14ac:dyDescent="0.25">
      <c r="A39" s="414"/>
      <c r="B39" s="463"/>
      <c r="C39" s="723" t="s">
        <v>46</v>
      </c>
      <c r="D39" s="724"/>
      <c r="E39" s="724"/>
      <c r="F39" s="724"/>
      <c r="G39" s="724"/>
      <c r="H39" s="724"/>
      <c r="I39" s="724"/>
      <c r="J39" s="724"/>
      <c r="K39" s="725"/>
      <c r="L39" s="375" t="s">
        <v>56</v>
      </c>
      <c r="M39" s="375" t="s">
        <v>52</v>
      </c>
      <c r="N39" s="375" t="s">
        <v>51</v>
      </c>
      <c r="O39" s="375" t="s">
        <v>51</v>
      </c>
      <c r="P39" s="375"/>
      <c r="Q39" s="375"/>
      <c r="R39" s="375"/>
      <c r="S39" s="375"/>
      <c r="T39" s="375" t="s">
        <v>51</v>
      </c>
      <c r="U39" s="375" t="s">
        <v>52</v>
      </c>
      <c r="V39" s="375"/>
      <c r="W39" s="373"/>
      <c r="X39" s="373"/>
      <c r="Y39" s="373"/>
      <c r="Z39" s="751"/>
    </row>
    <row r="40" spans="1:26" ht="25.5" x14ac:dyDescent="0.25">
      <c r="A40" s="414"/>
      <c r="B40" s="463"/>
      <c r="C40" s="376" t="s">
        <v>360</v>
      </c>
      <c r="D40" s="391"/>
      <c r="E40" s="363">
        <f>SUM(E42:E43)/SUM(E42:E43)*100</f>
        <v>100</v>
      </c>
      <c r="F40" s="362" t="s">
        <v>50</v>
      </c>
      <c r="G40" s="406">
        <f>SUM(G42:G43)</f>
        <v>95900</v>
      </c>
      <c r="H40" s="363">
        <f>SUM(H42:H43)/SUM(H42:H43)*100</f>
        <v>100</v>
      </c>
      <c r="I40" s="406">
        <f>SUM(I42:I43)</f>
        <v>40495</v>
      </c>
      <c r="J40" s="363">
        <f>SUM(J42:J43)/SUM(J42:J43)*100</f>
        <v>100</v>
      </c>
      <c r="K40" s="406">
        <f>SUM(K42:K43)</f>
        <v>14000</v>
      </c>
      <c r="L40" s="384">
        <f>((L42+L43)/(J42+J43))*100</f>
        <v>0</v>
      </c>
      <c r="M40" s="406">
        <f>SUM(M42:M43)</f>
        <v>6000</v>
      </c>
      <c r="N40" s="384">
        <f>((N42+N43)/(J42+J43))*100</f>
        <v>0</v>
      </c>
      <c r="O40" s="406">
        <f>SUM(O42:O43)</f>
        <v>0</v>
      </c>
      <c r="P40" s="384">
        <f>((P42+P43)/(J42+J43))*100</f>
        <v>0</v>
      </c>
      <c r="Q40" s="406">
        <f>SUM(Q42:Q43)</f>
        <v>0</v>
      </c>
      <c r="R40" s="384" t="e">
        <f>(R42+R43)/(R42+R43)*100</f>
        <v>#DIV/0!</v>
      </c>
      <c r="S40" s="406">
        <f>SUM(S42:S43)</f>
        <v>0</v>
      </c>
      <c r="T40" s="406" t="e">
        <f t="shared" ref="T40:U43" si="5">L40+N40+P40+R40</f>
        <v>#DIV/0!</v>
      </c>
      <c r="U40" s="406">
        <f t="shared" si="5"/>
        <v>6000</v>
      </c>
      <c r="V40" s="393"/>
      <c r="W40" s="393"/>
      <c r="X40" s="362"/>
      <c r="Y40" s="362"/>
      <c r="Z40" s="381"/>
    </row>
    <row r="41" spans="1:26" ht="25.5" x14ac:dyDescent="0.25">
      <c r="A41" s="414"/>
      <c r="B41" s="463"/>
      <c r="C41" s="477"/>
      <c r="D41" s="391" t="s">
        <v>420</v>
      </c>
      <c r="E41" s="478"/>
      <c r="F41" s="479"/>
      <c r="G41" s="480"/>
      <c r="H41" s="481"/>
      <c r="I41" s="482"/>
      <c r="J41" s="481">
        <f>7/7*100</f>
        <v>100</v>
      </c>
      <c r="K41" s="480"/>
      <c r="L41" s="483"/>
      <c r="M41" s="484"/>
      <c r="N41" s="483"/>
      <c r="O41" s="484"/>
      <c r="P41" s="483"/>
      <c r="Q41" s="484"/>
      <c r="R41" s="485">
        <v>4</v>
      </c>
      <c r="S41" s="482"/>
      <c r="T41" s="482"/>
      <c r="U41" s="482"/>
      <c r="V41" s="486"/>
      <c r="W41" s="486"/>
      <c r="X41" s="487"/>
      <c r="Y41" s="487"/>
      <c r="Z41" s="488"/>
    </row>
    <row r="42" spans="1:26" x14ac:dyDescent="0.25">
      <c r="A42" s="414"/>
      <c r="B42" s="463"/>
      <c r="C42" s="389" t="s">
        <v>343</v>
      </c>
      <c r="D42" s="394" t="s">
        <v>418</v>
      </c>
      <c r="E42" s="365">
        <f>4*3</f>
        <v>12</v>
      </c>
      <c r="F42" s="369" t="s">
        <v>162</v>
      </c>
      <c r="G42" s="365">
        <v>70900</v>
      </c>
      <c r="H42" s="370">
        <v>30</v>
      </c>
      <c r="I42" s="370">
        <v>35995</v>
      </c>
      <c r="J42" s="370">
        <v>2</v>
      </c>
      <c r="K42" s="365">
        <v>14000</v>
      </c>
      <c r="L42" s="424">
        <v>0</v>
      </c>
      <c r="M42" s="424">
        <v>6000</v>
      </c>
      <c r="N42" s="424">
        <v>0</v>
      </c>
      <c r="O42" s="424">
        <v>0</v>
      </c>
      <c r="P42" s="424">
        <v>0</v>
      </c>
      <c r="Q42" s="424">
        <v>0</v>
      </c>
      <c r="R42" s="368">
        <v>0</v>
      </c>
      <c r="S42" s="368">
        <v>0</v>
      </c>
      <c r="T42" s="366">
        <f t="shared" si="5"/>
        <v>0</v>
      </c>
      <c r="U42" s="366">
        <f t="shared" si="5"/>
        <v>6000</v>
      </c>
      <c r="V42" s="395">
        <f>T42+H42</f>
        <v>30</v>
      </c>
      <c r="W42" s="395">
        <f>U42+I42</f>
        <v>41995</v>
      </c>
      <c r="X42" s="416">
        <f>+V42/E42*100</f>
        <v>250</v>
      </c>
      <c r="Y42" s="416">
        <f>+W42/G42*100</f>
        <v>59.23131170662905</v>
      </c>
      <c r="Z42" s="752" t="s">
        <v>357</v>
      </c>
    </row>
    <row r="43" spans="1:26" ht="25.5" x14ac:dyDescent="0.25">
      <c r="A43" s="414"/>
      <c r="B43" s="463"/>
      <c r="C43" s="390" t="s">
        <v>361</v>
      </c>
      <c r="D43" s="394" t="s">
        <v>418</v>
      </c>
      <c r="E43" s="371">
        <v>1</v>
      </c>
      <c r="F43" s="474" t="s">
        <v>162</v>
      </c>
      <c r="G43" s="371">
        <v>25000</v>
      </c>
      <c r="H43" s="430">
        <v>1</v>
      </c>
      <c r="I43" s="430">
        <v>4500</v>
      </c>
      <c r="J43" s="379">
        <v>0</v>
      </c>
      <c r="K43" s="430">
        <v>0</v>
      </c>
      <c r="L43" s="430">
        <v>0</v>
      </c>
      <c r="M43" s="430">
        <v>0</v>
      </c>
      <c r="N43" s="430">
        <v>0</v>
      </c>
      <c r="O43" s="430">
        <v>0</v>
      </c>
      <c r="P43" s="430"/>
      <c r="Q43" s="430">
        <f>0-M43-O43</f>
        <v>0</v>
      </c>
      <c r="R43" s="430">
        <v>0</v>
      </c>
      <c r="S43" s="430"/>
      <c r="T43" s="379">
        <f t="shared" si="5"/>
        <v>0</v>
      </c>
      <c r="U43" s="425">
        <f t="shared" si="5"/>
        <v>0</v>
      </c>
      <c r="V43" s="426">
        <f>T43+H43</f>
        <v>1</v>
      </c>
      <c r="W43" s="426">
        <f>U43+I43</f>
        <v>4500</v>
      </c>
      <c r="X43" s="427">
        <f>+V43/E43*100</f>
        <v>100</v>
      </c>
      <c r="Y43" s="427">
        <f>+W43/G43*100</f>
        <v>18</v>
      </c>
      <c r="Z43" s="753"/>
    </row>
    <row r="44" spans="1:26" x14ac:dyDescent="0.25">
      <c r="A44" s="723" t="s">
        <v>45</v>
      </c>
      <c r="B44" s="724"/>
      <c r="C44" s="724"/>
      <c r="D44" s="724"/>
      <c r="E44" s="724"/>
      <c r="F44" s="724"/>
      <c r="G44" s="724"/>
      <c r="H44" s="724"/>
      <c r="I44" s="724"/>
      <c r="J44" s="724"/>
      <c r="K44" s="725"/>
      <c r="L44" s="372">
        <f>L40</f>
        <v>0</v>
      </c>
      <c r="M44" s="372">
        <f>M42/K42*100</f>
        <v>42.857142857142854</v>
      </c>
      <c r="N44" s="372">
        <f>N40</f>
        <v>0</v>
      </c>
      <c r="O44" s="372">
        <f>O42/K42*100</f>
        <v>0</v>
      </c>
      <c r="P44" s="372">
        <f>P40</f>
        <v>0</v>
      </c>
      <c r="Q44" s="372">
        <f>Q42/K42*100</f>
        <v>0</v>
      </c>
      <c r="R44" s="372" t="e">
        <f>R40</f>
        <v>#DIV/0!</v>
      </c>
      <c r="S44" s="372">
        <f>S42/K42*100</f>
        <v>0</v>
      </c>
      <c r="T44" s="372" t="e">
        <f>(L44+N44+P44+R44)</f>
        <v>#DIV/0!</v>
      </c>
      <c r="U44" s="372">
        <f>M44+O44+Q44+S44</f>
        <v>42.857142857142854</v>
      </c>
      <c r="V44" s="373"/>
      <c r="W44" s="373"/>
      <c r="X44" s="373">
        <f>SUM(X42:X43)/2</f>
        <v>175</v>
      </c>
      <c r="Y44" s="373">
        <f>SUM(Y42:Y43)/2</f>
        <v>38.615655853314522</v>
      </c>
      <c r="Z44" s="385"/>
    </row>
    <row r="45" spans="1:26" x14ac:dyDescent="0.25">
      <c r="A45" s="706" t="s">
        <v>46</v>
      </c>
      <c r="B45" s="707"/>
      <c r="C45" s="707"/>
      <c r="D45" s="707"/>
      <c r="E45" s="707"/>
      <c r="F45" s="707"/>
      <c r="G45" s="707"/>
      <c r="H45" s="707"/>
      <c r="I45" s="707"/>
      <c r="J45" s="707"/>
      <c r="K45" s="708"/>
      <c r="L45" s="431" t="s">
        <v>51</v>
      </c>
      <c r="M45" s="431" t="s">
        <v>48</v>
      </c>
      <c r="N45" s="431" t="s">
        <v>51</v>
      </c>
      <c r="O45" s="431" t="s">
        <v>52</v>
      </c>
      <c r="P45" s="431"/>
      <c r="Q45" s="431"/>
      <c r="R45" s="431"/>
      <c r="S45" s="431"/>
      <c r="T45" s="431" t="s">
        <v>51</v>
      </c>
      <c r="U45" s="431" t="s">
        <v>52</v>
      </c>
      <c r="V45" s="431"/>
      <c r="W45" s="432"/>
      <c r="X45" s="432"/>
      <c r="Y45" s="432"/>
      <c r="Z45" s="433"/>
    </row>
    <row r="46" spans="1:26" ht="89.25" x14ac:dyDescent="0.25">
      <c r="A46" s="434"/>
      <c r="B46" s="467" t="s">
        <v>381</v>
      </c>
      <c r="C46" s="446" t="s">
        <v>372</v>
      </c>
      <c r="D46" s="435" t="s">
        <v>373</v>
      </c>
      <c r="E46" s="436">
        <f>SUM(E47:E49)/SUM(E47:E49)*100</f>
        <v>100</v>
      </c>
      <c r="F46" s="360" t="s">
        <v>50</v>
      </c>
      <c r="G46" s="437">
        <f>SUM(G47:G49)</f>
        <v>2749739.5</v>
      </c>
      <c r="H46" s="436">
        <f>SUM(H47:H49)/SUM(H47:H49)*100</f>
        <v>100</v>
      </c>
      <c r="I46" s="437">
        <f>SUM(I47:I49)</f>
        <v>1838558.9079999998</v>
      </c>
      <c r="J46" s="436">
        <f>SUM(J47:J49)/SUM(J47:J49)*100</f>
        <v>100</v>
      </c>
      <c r="K46" s="437">
        <f>SUM(K47:K49)</f>
        <v>673458</v>
      </c>
      <c r="L46" s="436">
        <f>SUM(L47:L49)/SUM(J47:J49)*100</f>
        <v>0</v>
      </c>
      <c r="M46" s="437">
        <f>SUM(M47:M49)</f>
        <v>43101.61</v>
      </c>
      <c r="N46" s="436">
        <f>SUM(N47:N49)/SUM(J47:J49)*100</f>
        <v>0</v>
      </c>
      <c r="O46" s="437">
        <f>SUM(O47:O49)</f>
        <v>0</v>
      </c>
      <c r="P46" s="436">
        <f>SUM(P47:P49)/SUM(J47:J49)*100</f>
        <v>0</v>
      </c>
      <c r="Q46" s="437">
        <f>SUM(Q47:Q49)</f>
        <v>0</v>
      </c>
      <c r="R46" s="436" t="e">
        <f>SUM(R47:R49)/SUM(R47:R49)*100</f>
        <v>#DIV/0!</v>
      </c>
      <c r="S46" s="437">
        <f>SUM(S47:S49)</f>
        <v>0</v>
      </c>
      <c r="T46" s="437" t="e">
        <f t="shared" ref="T46:U49" si="6">L46+N46+P46+R46</f>
        <v>#DIV/0!</v>
      </c>
      <c r="U46" s="437">
        <f t="shared" si="6"/>
        <v>43101.61</v>
      </c>
      <c r="V46" s="364"/>
      <c r="W46" s="364"/>
      <c r="X46" s="360"/>
      <c r="Y46" s="360"/>
      <c r="Z46" s="382"/>
    </row>
    <row r="47" spans="1:26" ht="25.5" x14ac:dyDescent="0.25">
      <c r="A47" s="438"/>
      <c r="B47" s="465"/>
      <c r="C47" s="462" t="s">
        <v>374</v>
      </c>
      <c r="D47" s="394" t="s">
        <v>377</v>
      </c>
      <c r="E47" s="440">
        <f>2*3</f>
        <v>6</v>
      </c>
      <c r="F47" s="439" t="s">
        <v>362</v>
      </c>
      <c r="G47" s="440">
        <v>1375300</v>
      </c>
      <c r="H47" s="397">
        <v>5</v>
      </c>
      <c r="I47" s="397">
        <v>1260553.46</v>
      </c>
      <c r="J47" s="440">
        <v>0</v>
      </c>
      <c r="K47" s="396">
        <v>241700</v>
      </c>
      <c r="L47" s="441">
        <v>0</v>
      </c>
      <c r="M47" s="441">
        <v>14445.14</v>
      </c>
      <c r="N47" s="441">
        <v>0</v>
      </c>
      <c r="O47" s="441">
        <v>0</v>
      </c>
      <c r="P47" s="441">
        <v>0</v>
      </c>
      <c r="Q47" s="441">
        <v>0</v>
      </c>
      <c r="R47" s="476">
        <v>0</v>
      </c>
      <c r="S47" s="396">
        <v>0</v>
      </c>
      <c r="T47" s="398">
        <f t="shared" si="6"/>
        <v>0</v>
      </c>
      <c r="U47" s="416">
        <f t="shared" si="6"/>
        <v>14445.14</v>
      </c>
      <c r="V47" s="395">
        <f t="shared" ref="V47:W49" si="7">T47+H47</f>
        <v>5</v>
      </c>
      <c r="W47" s="395">
        <f t="shared" si="7"/>
        <v>1274998.5999999999</v>
      </c>
      <c r="X47" s="416">
        <v>0</v>
      </c>
      <c r="Y47" s="416">
        <v>0</v>
      </c>
      <c r="Z47" s="754" t="s">
        <v>357</v>
      </c>
    </row>
    <row r="48" spans="1:26" ht="25.5" x14ac:dyDescent="0.25">
      <c r="A48" s="402"/>
      <c r="B48" s="465"/>
      <c r="C48" s="394" t="s">
        <v>375</v>
      </c>
      <c r="D48" s="389" t="s">
        <v>378</v>
      </c>
      <c r="E48" s="440">
        <f>2*3</f>
        <v>6</v>
      </c>
      <c r="F48" s="439" t="s">
        <v>362</v>
      </c>
      <c r="G48" s="440">
        <v>914439.5</v>
      </c>
      <c r="H48" s="365">
        <v>6</v>
      </c>
      <c r="I48" s="365">
        <v>578005.44799999997</v>
      </c>
      <c r="J48" s="365">
        <v>1</v>
      </c>
      <c r="K48" s="365">
        <v>231539.5</v>
      </c>
      <c r="L48" s="441">
        <v>0</v>
      </c>
      <c r="M48" s="441">
        <v>19913.14</v>
      </c>
      <c r="N48" s="441">
        <v>0</v>
      </c>
      <c r="O48" s="441">
        <v>0</v>
      </c>
      <c r="P48" s="441">
        <v>0</v>
      </c>
      <c r="Q48" s="441">
        <v>0</v>
      </c>
      <c r="R48" s="476">
        <v>0</v>
      </c>
      <c r="S48" s="396">
        <v>0</v>
      </c>
      <c r="T48" s="398">
        <f t="shared" si="6"/>
        <v>0</v>
      </c>
      <c r="U48" s="416">
        <f t="shared" si="6"/>
        <v>19913.14</v>
      </c>
      <c r="V48" s="395">
        <f t="shared" si="7"/>
        <v>6</v>
      </c>
      <c r="W48" s="395">
        <f t="shared" si="7"/>
        <v>597918.58799999999</v>
      </c>
      <c r="X48" s="416">
        <f>+V48/E48*100</f>
        <v>100</v>
      </c>
      <c r="Y48" s="416">
        <f>+W48/G48*100</f>
        <v>65.38634737453927</v>
      </c>
      <c r="Z48" s="754"/>
    </row>
    <row r="49" spans="1:26" ht="25.5" x14ac:dyDescent="0.25">
      <c r="A49" s="402"/>
      <c r="B49" s="465"/>
      <c r="C49" s="394" t="s">
        <v>376</v>
      </c>
      <c r="D49" s="389" t="s">
        <v>379</v>
      </c>
      <c r="E49" s="440">
        <f>1*3</f>
        <v>3</v>
      </c>
      <c r="F49" s="439" t="s">
        <v>362</v>
      </c>
      <c r="G49" s="440">
        <f>460000</f>
        <v>460000</v>
      </c>
      <c r="H49" s="365">
        <v>0</v>
      </c>
      <c r="I49" s="365">
        <v>0</v>
      </c>
      <c r="J49" s="365">
        <v>0</v>
      </c>
      <c r="K49" s="365">
        <v>200218.5</v>
      </c>
      <c r="L49" s="367">
        <v>0</v>
      </c>
      <c r="M49" s="396">
        <v>8743.33</v>
      </c>
      <c r="N49" s="442">
        <v>0</v>
      </c>
      <c r="O49" s="443">
        <v>0</v>
      </c>
      <c r="P49" s="444"/>
      <c r="Q49" s="396">
        <v>0</v>
      </c>
      <c r="R49" s="442">
        <v>0</v>
      </c>
      <c r="S49" s="396">
        <v>0</v>
      </c>
      <c r="T49" s="398">
        <f t="shared" si="6"/>
        <v>0</v>
      </c>
      <c r="U49" s="416">
        <f t="shared" si="6"/>
        <v>8743.33</v>
      </c>
      <c r="V49" s="395">
        <f t="shared" si="7"/>
        <v>0</v>
      </c>
      <c r="W49" s="395">
        <f t="shared" si="7"/>
        <v>8743.33</v>
      </c>
      <c r="X49" s="416">
        <f>+V49/E49*100</f>
        <v>0</v>
      </c>
      <c r="Y49" s="416">
        <f>+W49/G49*100</f>
        <v>1.9007239130434783</v>
      </c>
      <c r="Z49" s="754"/>
    </row>
    <row r="50" spans="1:26" x14ac:dyDescent="0.25">
      <c r="A50" s="402"/>
      <c r="B50" s="465"/>
      <c r="C50" s="389"/>
      <c r="D50" s="389"/>
      <c r="E50" s="473"/>
      <c r="F50" s="439"/>
      <c r="G50" s="440"/>
      <c r="H50" s="365"/>
      <c r="I50" s="365"/>
      <c r="J50" s="365"/>
      <c r="K50" s="365"/>
      <c r="L50" s="367"/>
      <c r="M50" s="396"/>
      <c r="N50" s="442"/>
      <c r="O50" s="443"/>
      <c r="P50" s="444"/>
      <c r="Q50" s="396"/>
      <c r="R50" s="442"/>
      <c r="S50" s="396"/>
      <c r="T50" s="442"/>
      <c r="U50" s="378"/>
      <c r="V50" s="395"/>
      <c r="W50" s="395"/>
      <c r="X50" s="416"/>
      <c r="Y50" s="416"/>
      <c r="Z50" s="461"/>
    </row>
    <row r="51" spans="1:26" x14ac:dyDescent="0.25">
      <c r="A51" s="414"/>
      <c r="B51" s="465"/>
      <c r="C51" s="723" t="s">
        <v>45</v>
      </c>
      <c r="D51" s="724"/>
      <c r="E51" s="724"/>
      <c r="F51" s="724"/>
      <c r="G51" s="724"/>
      <c r="H51" s="724"/>
      <c r="I51" s="724"/>
      <c r="J51" s="724"/>
      <c r="K51" s="725"/>
      <c r="L51" s="407">
        <f>L46</f>
        <v>0</v>
      </c>
      <c r="M51" s="407">
        <f>M46/K46*100</f>
        <v>6.4000442492330629</v>
      </c>
      <c r="N51" s="407">
        <f>N46</f>
        <v>0</v>
      </c>
      <c r="O51" s="407">
        <f>O46/K46*100</f>
        <v>0</v>
      </c>
      <c r="P51" s="407">
        <f>P46</f>
        <v>0</v>
      </c>
      <c r="Q51" s="407">
        <f>Q46/K46*100</f>
        <v>0</v>
      </c>
      <c r="R51" s="407" t="e">
        <f>R46</f>
        <v>#DIV/0!</v>
      </c>
      <c r="S51" s="407">
        <f>S46/K46*100</f>
        <v>0</v>
      </c>
      <c r="T51" s="407" t="e">
        <f>(L51+N51+P51+R51)</f>
        <v>#DIV/0!</v>
      </c>
      <c r="U51" s="407">
        <f>M51+O51+Q51+S51</f>
        <v>6.4000442492330629</v>
      </c>
      <c r="V51" s="392"/>
      <c r="W51" s="392"/>
      <c r="X51" s="392">
        <f>SUM(X47:X49)/3</f>
        <v>33.333333333333336</v>
      </c>
      <c r="Y51" s="392">
        <f>SUM(Y47:Y49)/3</f>
        <v>22.429023762527581</v>
      </c>
      <c r="Z51" s="418"/>
    </row>
    <row r="52" spans="1:26" x14ac:dyDescent="0.25">
      <c r="A52" s="414"/>
      <c r="B52" s="465"/>
      <c r="C52" s="723" t="s">
        <v>46</v>
      </c>
      <c r="D52" s="724"/>
      <c r="E52" s="724"/>
      <c r="F52" s="724"/>
      <c r="G52" s="724"/>
      <c r="H52" s="724"/>
      <c r="I52" s="724"/>
      <c r="J52" s="724"/>
      <c r="K52" s="725"/>
      <c r="L52" s="431" t="s">
        <v>51</v>
      </c>
      <c r="M52" s="431" t="s">
        <v>51</v>
      </c>
      <c r="N52" s="431" t="s">
        <v>51</v>
      </c>
      <c r="O52" s="431" t="s">
        <v>51</v>
      </c>
      <c r="P52" s="431"/>
      <c r="Q52" s="431"/>
      <c r="R52" s="431"/>
      <c r="S52" s="431"/>
      <c r="T52" s="431" t="s">
        <v>51</v>
      </c>
      <c r="U52" s="431" t="s">
        <v>51</v>
      </c>
      <c r="V52" s="431"/>
      <c r="W52" s="432"/>
      <c r="X52" s="432"/>
      <c r="Y52" s="432"/>
      <c r="Z52" s="418"/>
    </row>
    <row r="53" spans="1:26" ht="25.5" x14ac:dyDescent="0.25">
      <c r="A53" s="447"/>
      <c r="B53" s="465"/>
      <c r="C53" s="361" t="s">
        <v>363</v>
      </c>
      <c r="D53" s="380" t="s">
        <v>364</v>
      </c>
      <c r="E53" s="436">
        <f>SUM(E54:E59)/SUM(E54:E59)*100</f>
        <v>100</v>
      </c>
      <c r="F53" s="360" t="s">
        <v>50</v>
      </c>
      <c r="G53" s="437">
        <f>SUM(G54:G59)</f>
        <v>1895650</v>
      </c>
      <c r="H53" s="436">
        <f>SUM(H54:H59)/SUM(H54:H59)*100</f>
        <v>100</v>
      </c>
      <c r="I53" s="437">
        <f>SUM(I54:I59)</f>
        <v>412394.08100000001</v>
      </c>
      <c r="J53" s="436">
        <f>SUM(J54:J59)/SUM(J54:J59)*100</f>
        <v>100</v>
      </c>
      <c r="K53" s="437">
        <f>SUM(K54:K59)</f>
        <v>179767.9</v>
      </c>
      <c r="L53" s="436">
        <f>SUM(L54:L59)/SUM(J54:J59)*100</f>
        <v>0</v>
      </c>
      <c r="M53" s="437">
        <f>SUM(M54:M59)</f>
        <v>1020</v>
      </c>
      <c r="N53" s="436">
        <f>SUM(N54:N59)/SUM(J54:J59)*100</f>
        <v>0</v>
      </c>
      <c r="O53" s="437">
        <f>SUM(O54:O59)</f>
        <v>0</v>
      </c>
      <c r="P53" s="436">
        <f>SUM(P54:P59)/SUM(J54:J59)*100</f>
        <v>0</v>
      </c>
      <c r="Q53" s="437">
        <f>SUM(Q54:Q59)</f>
        <v>0</v>
      </c>
      <c r="R53" s="436" t="e">
        <f>(R54+R57)/(R54+R57)*100</f>
        <v>#DIV/0!</v>
      </c>
      <c r="S53" s="437">
        <f>SUM(S54:S59)</f>
        <v>0</v>
      </c>
      <c r="T53" s="437" t="e">
        <f t="shared" ref="T53:U58" si="8">L53+N53+P53+R53</f>
        <v>#DIV/0!</v>
      </c>
      <c r="U53" s="437">
        <f t="shared" si="8"/>
        <v>1020</v>
      </c>
      <c r="V53" s="364"/>
      <c r="W53" s="364"/>
      <c r="X53" s="360"/>
      <c r="Y53" s="360"/>
      <c r="Z53" s="382"/>
    </row>
    <row r="54" spans="1:26" x14ac:dyDescent="0.25">
      <c r="A54" s="448"/>
      <c r="B54" s="465"/>
      <c r="C54" s="449" t="s">
        <v>365</v>
      </c>
      <c r="D54" s="445" t="s">
        <v>410</v>
      </c>
      <c r="E54" s="441">
        <f>2*3</f>
        <v>6</v>
      </c>
      <c r="F54" s="450" t="s">
        <v>429</v>
      </c>
      <c r="G54" s="441">
        <v>265650</v>
      </c>
      <c r="H54" s="403">
        <v>9</v>
      </c>
      <c r="I54" s="403">
        <v>191011.641</v>
      </c>
      <c r="J54" s="404">
        <v>1</v>
      </c>
      <c r="K54" s="441">
        <v>66050</v>
      </c>
      <c r="L54" s="441">
        <v>0</v>
      </c>
      <c r="M54" s="441">
        <v>1020</v>
      </c>
      <c r="N54" s="441">
        <v>0</v>
      </c>
      <c r="O54" s="441">
        <v>0</v>
      </c>
      <c r="P54" s="441">
        <v>0</v>
      </c>
      <c r="Q54" s="441">
        <v>0</v>
      </c>
      <c r="R54" s="403">
        <v>0</v>
      </c>
      <c r="S54" s="403">
        <v>0</v>
      </c>
      <c r="T54" s="404">
        <f t="shared" si="8"/>
        <v>0</v>
      </c>
      <c r="U54" s="404">
        <f t="shared" si="8"/>
        <v>1020</v>
      </c>
      <c r="V54" s="395">
        <f t="shared" ref="V54:W59" si="9">T54+H54</f>
        <v>9</v>
      </c>
      <c r="W54" s="395">
        <f t="shared" si="9"/>
        <v>192031.641</v>
      </c>
      <c r="X54" s="416">
        <f t="shared" ref="X54:X57" si="10">+V54/E54*100</f>
        <v>150</v>
      </c>
      <c r="Y54" s="416">
        <f t="shared" ref="Y54:Y59" si="11">+W54/G54*100</f>
        <v>72.28746132128741</v>
      </c>
      <c r="Z54" s="451"/>
    </row>
    <row r="55" spans="1:26" x14ac:dyDescent="0.25">
      <c r="A55" s="448"/>
      <c r="B55" s="465"/>
      <c r="C55" s="449" t="s">
        <v>366</v>
      </c>
      <c r="D55" s="445" t="s">
        <v>419</v>
      </c>
      <c r="E55" s="441">
        <v>0</v>
      </c>
      <c r="F55" s="450" t="s">
        <v>157</v>
      </c>
      <c r="G55" s="441">
        <v>365000</v>
      </c>
      <c r="H55" s="403">
        <v>0</v>
      </c>
      <c r="I55" s="403">
        <v>21655</v>
      </c>
      <c r="J55" s="404">
        <v>0</v>
      </c>
      <c r="K55" s="441">
        <v>0</v>
      </c>
      <c r="L55" s="403">
        <v>0</v>
      </c>
      <c r="M55" s="403">
        <v>0</v>
      </c>
      <c r="N55" s="403">
        <v>0</v>
      </c>
      <c r="O55" s="403">
        <v>0</v>
      </c>
      <c r="P55" s="403">
        <v>0</v>
      </c>
      <c r="Q55" s="403"/>
      <c r="R55" s="403"/>
      <c r="S55" s="403"/>
      <c r="T55" s="404">
        <f t="shared" si="8"/>
        <v>0</v>
      </c>
      <c r="U55" s="404">
        <f t="shared" si="8"/>
        <v>0</v>
      </c>
      <c r="V55" s="395">
        <f t="shared" si="9"/>
        <v>0</v>
      </c>
      <c r="W55" s="395">
        <f t="shared" si="9"/>
        <v>21655</v>
      </c>
      <c r="X55" s="416">
        <v>0</v>
      </c>
      <c r="Y55" s="416">
        <f t="shared" si="11"/>
        <v>5.9328767123287669</v>
      </c>
      <c r="Z55" s="451"/>
    </row>
    <row r="56" spans="1:26" ht="25.5" x14ac:dyDescent="0.25">
      <c r="A56" s="448"/>
      <c r="B56" s="465"/>
      <c r="C56" s="449" t="s">
        <v>367</v>
      </c>
      <c r="D56" s="445" t="s">
        <v>412</v>
      </c>
      <c r="E56" s="441">
        <v>0</v>
      </c>
      <c r="F56" s="450" t="str">
        <f>F54</f>
        <v>lomba</v>
      </c>
      <c r="G56" s="441">
        <v>600000</v>
      </c>
      <c r="H56" s="403">
        <v>0</v>
      </c>
      <c r="I56" s="403">
        <v>0</v>
      </c>
      <c r="J56" s="404">
        <v>0</v>
      </c>
      <c r="K56" s="441">
        <v>0</v>
      </c>
      <c r="L56" s="403">
        <v>0</v>
      </c>
      <c r="M56" s="403">
        <v>0</v>
      </c>
      <c r="N56" s="403">
        <v>0</v>
      </c>
      <c r="O56" s="403">
        <v>0</v>
      </c>
      <c r="P56" s="403">
        <v>0</v>
      </c>
      <c r="Q56" s="403">
        <v>0</v>
      </c>
      <c r="R56" s="403"/>
      <c r="S56" s="403"/>
      <c r="T56" s="404">
        <f t="shared" si="8"/>
        <v>0</v>
      </c>
      <c r="U56" s="404">
        <f t="shared" si="8"/>
        <v>0</v>
      </c>
      <c r="V56" s="395">
        <f t="shared" si="9"/>
        <v>0</v>
      </c>
      <c r="W56" s="395">
        <f t="shared" si="9"/>
        <v>0</v>
      </c>
      <c r="X56" s="416">
        <v>0</v>
      </c>
      <c r="Y56" s="416">
        <f t="shared" si="11"/>
        <v>0</v>
      </c>
      <c r="Z56" s="451"/>
    </row>
    <row r="57" spans="1:26" ht="25.5" x14ac:dyDescent="0.25">
      <c r="A57" s="448"/>
      <c r="B57" s="465"/>
      <c r="C57" s="449" t="s">
        <v>380</v>
      </c>
      <c r="D57" s="445" t="s">
        <v>411</v>
      </c>
      <c r="E57" s="441">
        <f>2*3</f>
        <v>6</v>
      </c>
      <c r="F57" s="450" t="s">
        <v>337</v>
      </c>
      <c r="G57" s="441">
        <v>145000</v>
      </c>
      <c r="H57" s="403">
        <v>2</v>
      </c>
      <c r="I57" s="403">
        <v>98222.44</v>
      </c>
      <c r="J57" s="404">
        <v>0</v>
      </c>
      <c r="K57" s="441">
        <v>113717.9</v>
      </c>
      <c r="L57" s="403">
        <v>0</v>
      </c>
      <c r="M57" s="403">
        <v>0</v>
      </c>
      <c r="N57" s="403">
        <v>0</v>
      </c>
      <c r="O57" s="403">
        <v>0</v>
      </c>
      <c r="P57" s="403">
        <v>0</v>
      </c>
      <c r="Q57" s="403">
        <v>0</v>
      </c>
      <c r="R57" s="403">
        <v>0</v>
      </c>
      <c r="S57" s="403">
        <v>0</v>
      </c>
      <c r="T57" s="404">
        <f t="shared" si="8"/>
        <v>0</v>
      </c>
      <c r="U57" s="404">
        <f t="shared" si="8"/>
        <v>0</v>
      </c>
      <c r="V57" s="395">
        <f t="shared" si="9"/>
        <v>2</v>
      </c>
      <c r="W57" s="395">
        <f t="shared" si="9"/>
        <v>98222.44</v>
      </c>
      <c r="X57" s="416">
        <f t="shared" si="10"/>
        <v>33.333333333333329</v>
      </c>
      <c r="Y57" s="416">
        <f t="shared" si="11"/>
        <v>67.739613793103445</v>
      </c>
      <c r="Z57" s="451"/>
    </row>
    <row r="58" spans="1:26" ht="25.5" x14ac:dyDescent="0.25">
      <c r="A58" s="448"/>
      <c r="B58" s="465"/>
      <c r="C58" s="449" t="s">
        <v>368</v>
      </c>
      <c r="D58" s="445" t="s">
        <v>413</v>
      </c>
      <c r="E58" s="441">
        <v>0</v>
      </c>
      <c r="F58" s="450" t="str">
        <f>F56</f>
        <v>lomba</v>
      </c>
      <c r="G58" s="441">
        <v>450000</v>
      </c>
      <c r="H58" s="403">
        <v>5</v>
      </c>
      <c r="I58" s="403">
        <v>32350</v>
      </c>
      <c r="J58" s="404">
        <v>0</v>
      </c>
      <c r="K58" s="441">
        <v>0</v>
      </c>
      <c r="L58" s="403">
        <v>0</v>
      </c>
      <c r="M58" s="403">
        <v>0</v>
      </c>
      <c r="N58" s="403">
        <v>0</v>
      </c>
      <c r="O58" s="403">
        <v>0</v>
      </c>
      <c r="P58" s="403">
        <v>0</v>
      </c>
      <c r="Q58" s="403">
        <v>0</v>
      </c>
      <c r="R58" s="403"/>
      <c r="S58" s="403"/>
      <c r="T58" s="404">
        <f t="shared" si="8"/>
        <v>0</v>
      </c>
      <c r="U58" s="404">
        <f t="shared" si="8"/>
        <v>0</v>
      </c>
      <c r="V58" s="395">
        <f t="shared" si="9"/>
        <v>5</v>
      </c>
      <c r="W58" s="395">
        <f t="shared" si="9"/>
        <v>32350</v>
      </c>
      <c r="X58" s="416">
        <v>0</v>
      </c>
      <c r="Y58" s="416">
        <f t="shared" si="11"/>
        <v>7.1888888888888891</v>
      </c>
      <c r="Z58" s="451"/>
    </row>
    <row r="59" spans="1:26" x14ac:dyDescent="0.25">
      <c r="A59" s="452"/>
      <c r="B59" s="466"/>
      <c r="C59" s="449" t="s">
        <v>369</v>
      </c>
      <c r="D59" s="453" t="s">
        <v>414</v>
      </c>
      <c r="E59" s="441">
        <v>0</v>
      </c>
      <c r="F59" s="450" t="str">
        <f>F58</f>
        <v>lomba</v>
      </c>
      <c r="G59" s="441">
        <v>70000</v>
      </c>
      <c r="H59" s="441">
        <v>1</v>
      </c>
      <c r="I59" s="441">
        <v>69155</v>
      </c>
      <c r="J59" s="441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1">
        <v>0</v>
      </c>
      <c r="R59" s="441"/>
      <c r="S59" s="403"/>
      <c r="T59" s="404">
        <v>0</v>
      </c>
      <c r="U59" s="404">
        <f>M59+O59+Q59+S59</f>
        <v>0</v>
      </c>
      <c r="V59" s="395">
        <f t="shared" si="9"/>
        <v>1</v>
      </c>
      <c r="W59" s="395">
        <f t="shared" si="9"/>
        <v>69155</v>
      </c>
      <c r="X59" s="416">
        <v>0</v>
      </c>
      <c r="Y59" s="416">
        <f t="shared" si="11"/>
        <v>98.792857142857144</v>
      </c>
      <c r="Z59" s="454" t="s">
        <v>338</v>
      </c>
    </row>
    <row r="60" spans="1:26" x14ac:dyDescent="0.25">
      <c r="A60" s="694" t="s">
        <v>45</v>
      </c>
      <c r="B60" s="695"/>
      <c r="C60" s="695"/>
      <c r="D60" s="695"/>
      <c r="E60" s="695"/>
      <c r="F60" s="695"/>
      <c r="G60" s="695"/>
      <c r="H60" s="695"/>
      <c r="I60" s="695"/>
      <c r="J60" s="695"/>
      <c r="K60" s="696"/>
      <c r="L60" s="407">
        <f>L53</f>
        <v>0</v>
      </c>
      <c r="M60" s="407">
        <f>M53/K53*100</f>
        <v>0.56739829524625929</v>
      </c>
      <c r="N60" s="407">
        <f>N53</f>
        <v>0</v>
      </c>
      <c r="O60" s="407">
        <f>O53/K53*100</f>
        <v>0</v>
      </c>
      <c r="P60" s="407">
        <f>P53</f>
        <v>0</v>
      </c>
      <c r="Q60" s="407">
        <f>Q53/K53*100</f>
        <v>0</v>
      </c>
      <c r="R60" s="407" t="e">
        <f>R53</f>
        <v>#DIV/0!</v>
      </c>
      <c r="S60" s="407">
        <f>S53/K53*100</f>
        <v>0</v>
      </c>
      <c r="T60" s="407" t="e">
        <f>(L60+N60+P60+R60)</f>
        <v>#DIV/0!</v>
      </c>
      <c r="U60" s="407">
        <f>M60+O60+Q60+S60</f>
        <v>0.56739829524625929</v>
      </c>
      <c r="V60" s="392"/>
      <c r="W60" s="392"/>
      <c r="X60" s="392">
        <f>SUM(X54:X59)/6</f>
        <v>30.555555555555554</v>
      </c>
      <c r="Y60" s="392">
        <f>SUM(Y54:Y59)/6</f>
        <v>41.990282976410946</v>
      </c>
      <c r="Z60" s="418"/>
    </row>
    <row r="61" spans="1:26" x14ac:dyDescent="0.25">
      <c r="A61" s="723" t="s">
        <v>46</v>
      </c>
      <c r="B61" s="724"/>
      <c r="C61" s="724"/>
      <c r="D61" s="724"/>
      <c r="E61" s="724"/>
      <c r="F61" s="724"/>
      <c r="G61" s="724"/>
      <c r="H61" s="724"/>
      <c r="I61" s="724"/>
      <c r="J61" s="724"/>
      <c r="K61" s="725"/>
      <c r="L61" s="375" t="s">
        <v>51</v>
      </c>
      <c r="M61" s="375" t="s">
        <v>51</v>
      </c>
      <c r="N61" s="375" t="s">
        <v>51</v>
      </c>
      <c r="O61" s="375" t="s">
        <v>51</v>
      </c>
      <c r="P61" s="375"/>
      <c r="Q61" s="375"/>
      <c r="R61" s="375"/>
      <c r="S61" s="375"/>
      <c r="T61" s="375" t="s">
        <v>51</v>
      </c>
      <c r="U61" s="375" t="s">
        <v>51</v>
      </c>
      <c r="V61" s="375"/>
      <c r="W61" s="373"/>
      <c r="X61" s="373"/>
      <c r="Y61" s="373"/>
      <c r="Z61" s="418"/>
    </row>
    <row r="62" spans="1:26" ht="17.25" x14ac:dyDescent="0.4">
      <c r="A62" s="726" t="s">
        <v>57</v>
      </c>
      <c r="B62" s="727"/>
      <c r="C62" s="727"/>
      <c r="D62" s="727"/>
      <c r="E62" s="727"/>
      <c r="F62" s="727"/>
      <c r="G62" s="727"/>
      <c r="H62" s="727"/>
      <c r="I62" s="727"/>
      <c r="J62" s="727"/>
      <c r="K62" s="405">
        <f>K53+K46+K40+K36+K32+K28+K11</f>
        <v>1544354.297</v>
      </c>
      <c r="L62" s="455"/>
      <c r="M62" s="455"/>
      <c r="N62" s="455"/>
      <c r="O62" s="455"/>
      <c r="P62" s="455"/>
      <c r="Q62" s="455"/>
      <c r="R62" s="455"/>
      <c r="S62" s="455"/>
      <c r="T62" s="455"/>
      <c r="U62" s="405">
        <f>U53+U46+U40+U36+U32+U28+U11</f>
        <v>170108.63</v>
      </c>
      <c r="V62" s="456"/>
      <c r="W62" s="456"/>
      <c r="X62" s="457"/>
      <c r="Y62" s="457"/>
      <c r="Z62" s="458"/>
    </row>
    <row r="63" spans="1:26" x14ac:dyDescent="0.25">
      <c r="A63" s="726" t="s">
        <v>370</v>
      </c>
      <c r="B63" s="727"/>
      <c r="C63" s="727"/>
      <c r="D63" s="727"/>
      <c r="E63" s="727"/>
      <c r="F63" s="727"/>
      <c r="G63" s="727"/>
      <c r="H63" s="727"/>
      <c r="I63" s="727"/>
      <c r="J63" s="727"/>
      <c r="K63" s="728"/>
      <c r="L63" s="372">
        <f>(L60+L51+L44+L38+L34+L30+L26)/7</f>
        <v>0</v>
      </c>
      <c r="M63" s="372" t="e">
        <f>(M60+M51+M44+M38+M34+M30+M26)/7</f>
        <v>#DIV/0!</v>
      </c>
      <c r="N63" s="372">
        <f>(N60+N51+N44+N38+N34+N30+N26)/7</f>
        <v>0</v>
      </c>
      <c r="O63" s="372" t="e">
        <f>(O60+O51+O44+O38+O34+O30+O26)/7</f>
        <v>#DIV/0!</v>
      </c>
      <c r="P63" s="372">
        <f>(P60+P51+P44+P38+P34+P30+P26)/9</f>
        <v>0</v>
      </c>
      <c r="Q63" s="372">
        <f>(Q53+Q46+Q40+Q36+Q32+Q28+Q11)/K62*100</f>
        <v>0</v>
      </c>
      <c r="R63" s="372" t="e">
        <f>(R60+R51+R44+R38+R34+R30+R26)/9</f>
        <v>#DIV/0!</v>
      </c>
      <c r="S63" s="372">
        <f>(S53+S46+S40+S36+S32+S28+S11)/K62*100</f>
        <v>0</v>
      </c>
      <c r="T63" s="372" t="e">
        <f>(L63+N63+P63+R63)</f>
        <v>#DIV/0!</v>
      </c>
      <c r="U63" s="372">
        <f>U62/K62*100</f>
        <v>11.014870767054303</v>
      </c>
      <c r="V63" s="373"/>
      <c r="W63" s="373"/>
      <c r="X63" s="372">
        <f>(X60+X55+X49+X45+X35+X31+X26+X39)/10</f>
        <v>67.552836052836057</v>
      </c>
      <c r="Y63" s="372">
        <f>(Y60+Y55+Y49+Y45+Y35+Y31+Y26+Y39)/10</f>
        <v>9.2589580606961626</v>
      </c>
      <c r="Z63" s="374"/>
    </row>
    <row r="64" spans="1:26" ht="15.75" thickBot="1" x14ac:dyDescent="0.3">
      <c r="A64" s="720" t="s">
        <v>371</v>
      </c>
      <c r="B64" s="721"/>
      <c r="C64" s="721"/>
      <c r="D64" s="721"/>
      <c r="E64" s="721"/>
      <c r="F64" s="721"/>
      <c r="G64" s="721"/>
      <c r="H64" s="721"/>
      <c r="I64" s="721"/>
      <c r="J64" s="721"/>
      <c r="K64" s="722"/>
      <c r="L64" s="386" t="s">
        <v>51</v>
      </c>
      <c r="M64" s="386" t="s">
        <v>56</v>
      </c>
      <c r="N64" s="386" t="s">
        <v>51</v>
      </c>
      <c r="O64" s="386" t="s">
        <v>56</v>
      </c>
      <c r="P64" s="386"/>
      <c r="Q64" s="386"/>
      <c r="R64" s="386"/>
      <c r="S64" s="386"/>
      <c r="T64" s="386" t="s">
        <v>51</v>
      </c>
      <c r="U64" s="386" t="s">
        <v>51</v>
      </c>
      <c r="V64" s="387"/>
      <c r="W64" s="387"/>
      <c r="X64" s="387"/>
      <c r="Y64" s="387"/>
      <c r="Z64" s="388"/>
    </row>
    <row r="65" spans="1:45" s="1" customFormat="1" x14ac:dyDescent="0.25">
      <c r="A65" s="326" t="s">
        <v>385</v>
      </c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8"/>
      <c r="V65" s="329"/>
      <c r="W65" s="330"/>
      <c r="X65" s="329"/>
      <c r="Y65" s="331"/>
      <c r="Z65" s="329"/>
      <c r="AA65" s="329"/>
      <c r="AB65" s="329"/>
      <c r="AC65" s="329"/>
      <c r="AD65" s="329"/>
      <c r="AE65" s="332"/>
      <c r="AF65" s="333"/>
      <c r="AG65" s="334"/>
      <c r="AH65" s="335">
        <v>7107003.8200000003</v>
      </c>
      <c r="AI65" s="335"/>
      <c r="AJ65" s="335"/>
      <c r="AK65" s="335"/>
      <c r="AL65" s="335"/>
      <c r="AM65" s="335"/>
      <c r="AN65" s="335"/>
      <c r="AO65" s="336"/>
      <c r="AP65" s="336"/>
      <c r="AQ65" s="337"/>
      <c r="AR65" s="337"/>
      <c r="AS65" s="338"/>
    </row>
    <row r="66" spans="1:45" s="1" customFormat="1" ht="12.75" x14ac:dyDescent="0.25">
      <c r="A66" s="718" t="s">
        <v>383</v>
      </c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327"/>
      <c r="S66" s="327"/>
      <c r="T66" s="327"/>
      <c r="U66" s="339">
        <f>(U59+U38+U74)/11</f>
        <v>0</v>
      </c>
      <c r="V66" s="339">
        <f>(V59+V38)/11</f>
        <v>9.0909090909090912E-2</v>
      </c>
      <c r="W66" s="340">
        <f>(W59+W38)/11</f>
        <v>6286.818181818182</v>
      </c>
      <c r="X66" s="339">
        <f>(X59+X38)/11</f>
        <v>24.242424242424239</v>
      </c>
      <c r="Y66" s="341">
        <f>(Y59+Y38)/11</f>
        <v>13.083716354768988</v>
      </c>
      <c r="Z66" s="489"/>
      <c r="AA66" s="339"/>
      <c r="AB66" s="339"/>
      <c r="AC66" s="339"/>
      <c r="AD66" s="339"/>
      <c r="AE66" s="339">
        <f>(AE59+AE38)/11</f>
        <v>0</v>
      </c>
      <c r="AF66" s="340" t="e">
        <f>(#REF!+#REF!+AF59+AF38+#REF!+#REF!+#REF!+#REF!+#REF!+#REF!+#REF!)/11</f>
        <v>#REF!</v>
      </c>
      <c r="AG66" s="341" t="e">
        <f>(#REF!+#REF!+AG59+AG38+#REF!+#REF!+#REF!+#REF!+#REF!+#REF!+#REF!)/11</f>
        <v>#REF!</v>
      </c>
      <c r="AH66" s="339" t="e">
        <f>AH65/T69*100</f>
        <v>#DIV/0!</v>
      </c>
      <c r="AI66" s="339"/>
      <c r="AJ66" s="339"/>
      <c r="AK66" s="339"/>
      <c r="AL66" s="339"/>
      <c r="AM66" s="339"/>
      <c r="AN66" s="339"/>
      <c r="AO66" s="68"/>
      <c r="AP66" s="68"/>
      <c r="AQ66" s="342" t="e">
        <f>(#REF!+#REF!+AQ59+AQ38+#REF!+#REF!+#REF!+#REF!+#REF!+#REF!+#REF!)/11</f>
        <v>#REF!</v>
      </c>
      <c r="AR66" s="342" t="e">
        <f>(#REF!+#REF!+AR59+AR38+#REF!+#REF!+#REF!+#REF!+#REF!+#REF!+#REF!)/11</f>
        <v>#REF!</v>
      </c>
      <c r="AS66" s="70"/>
    </row>
    <row r="67" spans="1:45" s="1" customFormat="1" ht="12.75" x14ac:dyDescent="0.25">
      <c r="A67" s="326" t="s">
        <v>386</v>
      </c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43" t="s">
        <v>51</v>
      </c>
      <c r="V67" s="343"/>
      <c r="W67" s="344"/>
      <c r="X67" s="343"/>
      <c r="Y67" s="345"/>
      <c r="Z67" s="343"/>
      <c r="AA67" s="343"/>
      <c r="AB67" s="343"/>
      <c r="AC67" s="343"/>
      <c r="AD67" s="343"/>
      <c r="AE67" s="343"/>
      <c r="AF67" s="344"/>
      <c r="AG67" s="345"/>
      <c r="AH67" s="343"/>
      <c r="AI67" s="343"/>
      <c r="AJ67" s="343"/>
      <c r="AK67" s="343"/>
      <c r="AL67" s="343"/>
      <c r="AM67" s="343"/>
      <c r="AN67" s="343"/>
      <c r="AO67" s="346"/>
      <c r="AP67" s="346"/>
      <c r="AQ67" s="347"/>
      <c r="AR67" s="347"/>
      <c r="AS67" s="348"/>
    </row>
    <row r="68" spans="1:45" s="1" customFormat="1" ht="13.5" thickBot="1" x14ac:dyDescent="0.3">
      <c r="A68" s="326" t="s">
        <v>384</v>
      </c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49" t="s">
        <v>51</v>
      </c>
      <c r="V68" s="349" t="s">
        <v>51</v>
      </c>
      <c r="W68" s="350" t="s">
        <v>47</v>
      </c>
      <c r="X68" s="349" t="s">
        <v>56</v>
      </c>
      <c r="Y68" s="351"/>
      <c r="Z68" s="349"/>
      <c r="AA68" s="349"/>
      <c r="AB68" s="349"/>
      <c r="AC68" s="349"/>
      <c r="AD68" s="349"/>
      <c r="AE68" s="349"/>
      <c r="AF68" s="352"/>
      <c r="AG68" s="351" t="s">
        <v>47</v>
      </c>
      <c r="AH68" s="349" t="s">
        <v>51</v>
      </c>
      <c r="AI68" s="349"/>
      <c r="AJ68" s="349"/>
      <c r="AK68" s="349"/>
      <c r="AL68" s="349"/>
      <c r="AM68" s="349"/>
      <c r="AN68" s="349"/>
      <c r="AO68" s="353"/>
      <c r="AP68" s="353"/>
      <c r="AQ68" s="353"/>
      <c r="AR68" s="353"/>
      <c r="AS68" s="354"/>
    </row>
    <row r="70" spans="1:45" x14ac:dyDescent="0.25">
      <c r="W70" s="717" t="s">
        <v>565</v>
      </c>
      <c r="X70" s="717"/>
      <c r="Y70" s="717"/>
      <c r="Z70" s="717"/>
      <c r="AB70" t="s">
        <v>430</v>
      </c>
    </row>
    <row r="72" spans="1:45" x14ac:dyDescent="0.25">
      <c r="W72" s="692" t="s">
        <v>546</v>
      </c>
      <c r="X72" s="692"/>
      <c r="Y72" s="692"/>
      <c r="Z72" s="692"/>
    </row>
    <row r="76" spans="1:45" x14ac:dyDescent="0.25">
      <c r="W76" s="693" t="s">
        <v>547</v>
      </c>
      <c r="X76" s="693"/>
      <c r="Y76" s="693"/>
      <c r="Z76" s="693"/>
    </row>
    <row r="77" spans="1:45" x14ac:dyDescent="0.25">
      <c r="W77" s="692" t="s">
        <v>548</v>
      </c>
      <c r="X77" s="692"/>
      <c r="Y77" s="692"/>
      <c r="Z77" s="692"/>
    </row>
  </sheetData>
  <mergeCells count="51">
    <mergeCell ref="C26:K26"/>
    <mergeCell ref="C27:K27"/>
    <mergeCell ref="C51:K51"/>
    <mergeCell ref="C52:K52"/>
    <mergeCell ref="Z29:Z31"/>
    <mergeCell ref="Z33:Z35"/>
    <mergeCell ref="Z37:Z39"/>
    <mergeCell ref="C30:K30"/>
    <mergeCell ref="C31:K31"/>
    <mergeCell ref="Z42:Z43"/>
    <mergeCell ref="Z47:Z49"/>
    <mergeCell ref="C38:K38"/>
    <mergeCell ref="C39:K39"/>
    <mergeCell ref="C34:K34"/>
    <mergeCell ref="C35:K35"/>
    <mergeCell ref="A44:K44"/>
    <mergeCell ref="H6:I7"/>
    <mergeCell ref="E8:F8"/>
    <mergeCell ref="A9:Z9"/>
    <mergeCell ref="A10:Z10"/>
    <mergeCell ref="J6:K7"/>
    <mergeCell ref="L6:S6"/>
    <mergeCell ref="T6:U7"/>
    <mergeCell ref="V6:W7"/>
    <mergeCell ref="A6:A8"/>
    <mergeCell ref="B6:B8"/>
    <mergeCell ref="C6:C8"/>
    <mergeCell ref="D6:D8"/>
    <mergeCell ref="W77:Z77"/>
    <mergeCell ref="W70:Z70"/>
    <mergeCell ref="A66:Q66"/>
    <mergeCell ref="A64:K64"/>
    <mergeCell ref="A61:K61"/>
    <mergeCell ref="A62:J62"/>
    <mergeCell ref="A63:K63"/>
    <mergeCell ref="A3:Z3"/>
    <mergeCell ref="A4:Z4"/>
    <mergeCell ref="A2:Z2"/>
    <mergeCell ref="W72:Z72"/>
    <mergeCell ref="W76:Z76"/>
    <mergeCell ref="A60:K60"/>
    <mergeCell ref="X6:Y7"/>
    <mergeCell ref="Z6:Z8"/>
    <mergeCell ref="L7:M7"/>
    <mergeCell ref="N7:O7"/>
    <mergeCell ref="P7:Q7"/>
    <mergeCell ref="R7:S7"/>
    <mergeCell ref="A45:K45"/>
    <mergeCell ref="Z12:Z24"/>
    <mergeCell ref="B12:B13"/>
    <mergeCell ref="E6:G7"/>
  </mergeCells>
  <pageMargins left="0.39370078740157483" right="0.39370078740157483" top="0.59055118110236227" bottom="0.59055118110236227" header="0.31496062992125984" footer="0.31496062992125984"/>
  <pageSetup paperSize="10000"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E193" workbookViewId="0">
      <selection activeCell="AC200" sqref="AC200"/>
    </sheetView>
  </sheetViews>
  <sheetFormatPr defaultRowHeight="15" x14ac:dyDescent="0.25"/>
  <cols>
    <col min="1" max="1" width="3.42578125" customWidth="1"/>
    <col min="2" max="2" width="13" style="10" customWidth="1"/>
    <col min="3" max="3" width="31" customWidth="1"/>
    <col min="4" max="4" width="27.5703125" customWidth="1"/>
    <col min="5" max="5" width="10.140625" customWidth="1"/>
    <col min="6" max="6" width="6.140625" customWidth="1"/>
    <col min="7" max="7" width="5.5703125" customWidth="1"/>
    <col min="8" max="8" width="9.42578125" customWidth="1"/>
    <col min="9" max="13" width="7.28515625" customWidth="1"/>
    <col min="14" max="14" width="8.5703125" customWidth="1"/>
    <col min="15" max="15" width="6.28515625" customWidth="1"/>
    <col min="16" max="16" width="8.140625" customWidth="1"/>
    <col min="17" max="17" width="7.42578125" customWidth="1"/>
    <col min="18" max="18" width="8.140625" customWidth="1"/>
    <col min="19" max="19" width="5.5703125" customWidth="1"/>
    <col min="21" max="21" width="4.85546875" customWidth="1"/>
    <col min="23" max="23" width="5.28515625" customWidth="1"/>
    <col min="25" max="25" width="5.42578125" customWidth="1"/>
    <col min="26" max="26" width="7.7109375" customWidth="1"/>
    <col min="27" max="27" width="6.5703125" customWidth="1"/>
    <col min="28" max="28" width="7.5703125" customWidth="1"/>
    <col min="29" max="29" width="7.42578125" customWidth="1"/>
    <col min="30" max="30" width="8.140625" customWidth="1"/>
    <col min="31" max="31" width="6.28515625" customWidth="1"/>
    <col min="32" max="32" width="7.5703125" customWidth="1"/>
    <col min="33" max="35" width="8.7109375" bestFit="1" customWidth="1"/>
    <col min="37" max="40" width="9.42578125" bestFit="1" customWidth="1"/>
    <col min="41" max="41" width="10.28515625" customWidth="1"/>
    <col min="43" max="44" width="9.42578125" bestFit="1" customWidth="1"/>
    <col min="45" max="45" width="11.28515625" customWidth="1"/>
  </cols>
  <sheetData>
    <row r="1" spans="1:45" s="6" customFormat="1" ht="22.5" x14ac:dyDescent="0.25">
      <c r="A1" s="791" t="s">
        <v>58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1"/>
      <c r="AN1" s="791"/>
      <c r="AO1" s="791"/>
      <c r="AP1" s="791"/>
      <c r="AQ1" s="791"/>
      <c r="AR1" s="791"/>
      <c r="AS1" s="791"/>
    </row>
    <row r="2" spans="1:45" s="6" customFormat="1" ht="22.5" x14ac:dyDescent="0.25">
      <c r="A2" s="792" t="s">
        <v>59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792"/>
      <c r="AI2" s="792"/>
      <c r="AJ2" s="792"/>
      <c r="AK2" s="792"/>
      <c r="AL2" s="792"/>
      <c r="AM2" s="792"/>
      <c r="AN2" s="792"/>
      <c r="AO2" s="792"/>
      <c r="AP2" s="792"/>
      <c r="AQ2" s="792"/>
      <c r="AR2" s="792"/>
      <c r="AS2" s="792"/>
    </row>
    <row r="3" spans="1:45" s="6" customFormat="1" ht="22.5" x14ac:dyDescent="0.25">
      <c r="A3" s="791" t="s">
        <v>60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/>
      <c r="X3" s="791"/>
      <c r="Y3" s="791"/>
      <c r="Z3" s="791"/>
      <c r="AA3" s="791"/>
      <c r="AB3" s="791"/>
      <c r="AC3" s="791"/>
      <c r="AD3" s="791"/>
      <c r="AE3" s="791"/>
      <c r="AF3" s="791"/>
      <c r="AG3" s="791"/>
      <c r="AH3" s="791"/>
      <c r="AI3" s="791"/>
      <c r="AJ3" s="791"/>
      <c r="AK3" s="791"/>
      <c r="AL3" s="791"/>
      <c r="AM3" s="791"/>
      <c r="AN3" s="791"/>
      <c r="AO3" s="791"/>
      <c r="AP3" s="791"/>
      <c r="AQ3" s="791"/>
      <c r="AR3" s="791"/>
      <c r="AS3" s="791"/>
    </row>
    <row r="4" spans="1:45" s="6" customFormat="1" ht="22.5" x14ac:dyDescent="0.25">
      <c r="A4" s="792"/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AS4" s="792"/>
    </row>
    <row r="5" spans="1:45" s="6" customFormat="1" ht="22.5" x14ac:dyDescent="0.25">
      <c r="A5" s="7" t="s">
        <v>61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s="6" customFormat="1" ht="22.5" x14ac:dyDescent="0.25">
      <c r="A6" s="7" t="s">
        <v>62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6" customFormat="1" ht="22.5" x14ac:dyDescent="0.25">
      <c r="A7" s="7" t="s">
        <v>62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s="6" customFormat="1" ht="22.5" x14ac:dyDescent="0.25">
      <c r="A8" s="7" t="s">
        <v>62</v>
      </c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ht="15.75" thickBot="1" x14ac:dyDescent="0.3"/>
    <row r="10" spans="1:45" s="1" customFormat="1" ht="20.100000000000001" customHeight="1" x14ac:dyDescent="0.25">
      <c r="A10" s="740" t="s">
        <v>0</v>
      </c>
      <c r="B10" s="793" t="s">
        <v>27</v>
      </c>
      <c r="C10" s="743" t="s">
        <v>28</v>
      </c>
      <c r="D10" s="743" t="s">
        <v>29</v>
      </c>
      <c r="E10" s="743" t="s">
        <v>63</v>
      </c>
      <c r="F10" s="711" t="s">
        <v>64</v>
      </c>
      <c r="G10" s="712"/>
      <c r="H10" s="713"/>
      <c r="I10" s="796" t="s">
        <v>65</v>
      </c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8"/>
      <c r="U10" s="737" t="s">
        <v>66</v>
      </c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9"/>
      <c r="AG10" s="737" t="s">
        <v>67</v>
      </c>
      <c r="AH10" s="738"/>
      <c r="AI10" s="738"/>
      <c r="AJ10" s="738"/>
      <c r="AK10" s="738"/>
      <c r="AL10" s="738"/>
      <c r="AM10" s="738"/>
      <c r="AN10" s="738"/>
      <c r="AO10" s="738"/>
      <c r="AP10" s="738"/>
      <c r="AQ10" s="738"/>
      <c r="AR10" s="739"/>
      <c r="AS10" s="701" t="s">
        <v>34</v>
      </c>
    </row>
    <row r="11" spans="1:45" s="1" customFormat="1" ht="32.450000000000003" customHeight="1" x14ac:dyDescent="0.25">
      <c r="A11" s="741"/>
      <c r="B11" s="794"/>
      <c r="C11" s="744"/>
      <c r="D11" s="744"/>
      <c r="E11" s="744"/>
      <c r="F11" s="714"/>
      <c r="G11" s="715"/>
      <c r="H11" s="716"/>
      <c r="I11" s="789">
        <v>2016</v>
      </c>
      <c r="J11" s="790"/>
      <c r="K11" s="789">
        <v>2017</v>
      </c>
      <c r="L11" s="790"/>
      <c r="M11" s="789">
        <v>2018</v>
      </c>
      <c r="N11" s="790"/>
      <c r="O11" s="789">
        <v>2019</v>
      </c>
      <c r="P11" s="790"/>
      <c r="Q11" s="789">
        <v>2020</v>
      </c>
      <c r="R11" s="790"/>
      <c r="S11" s="789">
        <v>2021</v>
      </c>
      <c r="T11" s="790"/>
      <c r="U11" s="789">
        <v>2016</v>
      </c>
      <c r="V11" s="790"/>
      <c r="W11" s="789">
        <v>2017</v>
      </c>
      <c r="X11" s="790"/>
      <c r="Y11" s="789">
        <v>2018</v>
      </c>
      <c r="Z11" s="790"/>
      <c r="AA11" s="789">
        <v>2019</v>
      </c>
      <c r="AB11" s="790"/>
      <c r="AC11" s="789">
        <v>2020</v>
      </c>
      <c r="AD11" s="790"/>
      <c r="AE11" s="789">
        <v>2021</v>
      </c>
      <c r="AF11" s="790"/>
      <c r="AG11" s="789">
        <v>2016</v>
      </c>
      <c r="AH11" s="790"/>
      <c r="AI11" s="789">
        <v>2017</v>
      </c>
      <c r="AJ11" s="790"/>
      <c r="AK11" s="789">
        <v>2018</v>
      </c>
      <c r="AL11" s="790"/>
      <c r="AM11" s="789">
        <v>2019</v>
      </c>
      <c r="AN11" s="790"/>
      <c r="AO11" s="789">
        <v>2020</v>
      </c>
      <c r="AP11" s="790"/>
      <c r="AQ11" s="789">
        <v>2021</v>
      </c>
      <c r="AR11" s="790"/>
      <c r="AS11" s="702"/>
    </row>
    <row r="12" spans="1:45" s="1" customFormat="1" ht="18.600000000000001" customHeight="1" x14ac:dyDescent="0.25">
      <c r="A12" s="742"/>
      <c r="B12" s="795"/>
      <c r="C12" s="745"/>
      <c r="D12" s="745"/>
      <c r="E12" s="745"/>
      <c r="F12" s="729" t="s">
        <v>39</v>
      </c>
      <c r="G12" s="730"/>
      <c r="H12" s="2" t="s">
        <v>40</v>
      </c>
      <c r="I12" s="2" t="s">
        <v>39</v>
      </c>
      <c r="J12" s="2" t="s">
        <v>40</v>
      </c>
      <c r="K12" s="2" t="s">
        <v>39</v>
      </c>
      <c r="L12" s="2" t="s">
        <v>40</v>
      </c>
      <c r="M12" s="2" t="s">
        <v>39</v>
      </c>
      <c r="N12" s="2" t="s">
        <v>40</v>
      </c>
      <c r="O12" s="2" t="s">
        <v>39</v>
      </c>
      <c r="P12" s="2" t="s">
        <v>40</v>
      </c>
      <c r="Q12" s="2" t="s">
        <v>39</v>
      </c>
      <c r="R12" s="2" t="s">
        <v>40</v>
      </c>
      <c r="S12" s="2" t="s">
        <v>39</v>
      </c>
      <c r="T12" s="2" t="s">
        <v>40</v>
      </c>
      <c r="U12" s="2" t="s">
        <v>39</v>
      </c>
      <c r="V12" s="2" t="s">
        <v>40</v>
      </c>
      <c r="W12" s="2" t="s">
        <v>39</v>
      </c>
      <c r="X12" s="2" t="s">
        <v>40</v>
      </c>
      <c r="Y12" s="2" t="s">
        <v>39</v>
      </c>
      <c r="Z12" s="2" t="s">
        <v>40</v>
      </c>
      <c r="AA12" s="2" t="s">
        <v>39</v>
      </c>
      <c r="AB12" s="2" t="s">
        <v>40</v>
      </c>
      <c r="AC12" s="2" t="s">
        <v>39</v>
      </c>
      <c r="AD12" s="2" t="s">
        <v>40</v>
      </c>
      <c r="AE12" s="2" t="s">
        <v>39</v>
      </c>
      <c r="AF12" s="2" t="s">
        <v>40</v>
      </c>
      <c r="AG12" s="2" t="s">
        <v>39</v>
      </c>
      <c r="AH12" s="2" t="s">
        <v>40</v>
      </c>
      <c r="AI12" s="2" t="s">
        <v>39</v>
      </c>
      <c r="AJ12" s="2" t="s">
        <v>40</v>
      </c>
      <c r="AK12" s="2" t="s">
        <v>39</v>
      </c>
      <c r="AL12" s="2" t="s">
        <v>40</v>
      </c>
      <c r="AM12" s="2" t="s">
        <v>39</v>
      </c>
      <c r="AN12" s="2" t="s">
        <v>40</v>
      </c>
      <c r="AO12" s="2" t="s">
        <v>39</v>
      </c>
      <c r="AP12" s="2" t="s">
        <v>40</v>
      </c>
      <c r="AQ12" s="2" t="s">
        <v>39</v>
      </c>
      <c r="AR12" s="2" t="s">
        <v>40</v>
      </c>
      <c r="AS12" s="703"/>
    </row>
    <row r="13" spans="1:45" s="17" customFormat="1" ht="14.45" customHeight="1" x14ac:dyDescent="0.25">
      <c r="A13" s="11">
        <v>1</v>
      </c>
      <c r="B13" s="2">
        <v>2</v>
      </c>
      <c r="C13" s="2">
        <v>3</v>
      </c>
      <c r="D13" s="2">
        <v>4</v>
      </c>
      <c r="E13" s="12">
        <v>5</v>
      </c>
      <c r="F13" s="783">
        <v>5</v>
      </c>
      <c r="G13" s="784"/>
      <c r="H13" s="785"/>
      <c r="I13" s="12">
        <v>6</v>
      </c>
      <c r="J13" s="13">
        <v>7</v>
      </c>
      <c r="K13" s="13">
        <v>8</v>
      </c>
      <c r="L13" s="13">
        <v>9</v>
      </c>
      <c r="M13" s="13">
        <v>10</v>
      </c>
      <c r="N13" s="14">
        <v>11</v>
      </c>
      <c r="O13" s="13">
        <v>12</v>
      </c>
      <c r="P13" s="13">
        <v>13</v>
      </c>
      <c r="Q13" s="13">
        <v>14</v>
      </c>
      <c r="R13" s="13">
        <v>15</v>
      </c>
      <c r="S13" s="12">
        <v>16</v>
      </c>
      <c r="T13" s="14">
        <v>17</v>
      </c>
      <c r="U13" s="12">
        <v>18</v>
      </c>
      <c r="V13" s="14">
        <v>19</v>
      </c>
      <c r="W13" s="12">
        <v>20</v>
      </c>
      <c r="X13" s="14">
        <v>21</v>
      </c>
      <c r="Y13" s="12">
        <v>22</v>
      </c>
      <c r="Z13" s="14">
        <v>23</v>
      </c>
      <c r="AA13" s="13">
        <v>24</v>
      </c>
      <c r="AB13" s="13">
        <v>25</v>
      </c>
      <c r="AC13" s="13">
        <v>26</v>
      </c>
      <c r="AD13" s="13">
        <v>27</v>
      </c>
      <c r="AE13" s="13">
        <v>28</v>
      </c>
      <c r="AF13" s="13">
        <v>29</v>
      </c>
      <c r="AG13" s="15" t="s">
        <v>68</v>
      </c>
      <c r="AH13" s="15" t="s">
        <v>69</v>
      </c>
      <c r="AI13" s="15" t="s">
        <v>70</v>
      </c>
      <c r="AJ13" s="15" t="s">
        <v>71</v>
      </c>
      <c r="AK13" s="15" t="s">
        <v>72</v>
      </c>
      <c r="AL13" s="15" t="s">
        <v>73</v>
      </c>
      <c r="AM13" s="15" t="s">
        <v>74</v>
      </c>
      <c r="AN13" s="15" t="s">
        <v>75</v>
      </c>
      <c r="AO13" s="15" t="s">
        <v>76</v>
      </c>
      <c r="AP13" s="15" t="s">
        <v>77</v>
      </c>
      <c r="AQ13" s="15" t="s">
        <v>78</v>
      </c>
      <c r="AR13" s="15" t="s">
        <v>79</v>
      </c>
      <c r="AS13" s="16">
        <v>16</v>
      </c>
    </row>
    <row r="14" spans="1:45" s="17" customFormat="1" ht="14.45" customHeight="1" x14ac:dyDescent="0.25">
      <c r="A14" s="786" t="s">
        <v>6</v>
      </c>
      <c r="B14" s="787"/>
      <c r="C14" s="787"/>
      <c r="D14" s="787"/>
      <c r="E14" s="787"/>
      <c r="F14" s="787"/>
      <c r="G14" s="787"/>
      <c r="H14" s="787"/>
      <c r="I14" s="787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  <c r="U14" s="787"/>
      <c r="V14" s="787"/>
      <c r="W14" s="787"/>
      <c r="X14" s="787"/>
      <c r="Y14" s="787"/>
      <c r="Z14" s="787"/>
      <c r="AA14" s="787"/>
      <c r="AB14" s="787"/>
      <c r="AC14" s="787"/>
      <c r="AD14" s="787"/>
      <c r="AE14" s="787"/>
      <c r="AF14" s="787"/>
      <c r="AG14" s="787"/>
      <c r="AH14" s="787"/>
      <c r="AI14" s="787"/>
      <c r="AJ14" s="787"/>
      <c r="AK14" s="787"/>
      <c r="AL14" s="787"/>
      <c r="AM14" s="787"/>
      <c r="AN14" s="787"/>
      <c r="AO14" s="787"/>
      <c r="AP14" s="787"/>
      <c r="AQ14" s="787"/>
      <c r="AR14" s="787"/>
      <c r="AS14" s="788"/>
    </row>
    <row r="15" spans="1:45" s="1" customFormat="1" ht="25.5" x14ac:dyDescent="0.25">
      <c r="A15" s="18">
        <v>1</v>
      </c>
      <c r="B15" s="19" t="s">
        <v>80</v>
      </c>
      <c r="C15" s="20" t="s">
        <v>81</v>
      </c>
      <c r="D15" s="5" t="s">
        <v>5</v>
      </c>
      <c r="E15" s="5"/>
      <c r="F15" s="21">
        <f>(SUM(F16:F40))/(SUM(F16:F40))*100</f>
        <v>100</v>
      </c>
      <c r="G15" s="22" t="s">
        <v>50</v>
      </c>
      <c r="H15" s="23">
        <f>SUM(H16:H49)</f>
        <v>29353268.747340001</v>
      </c>
      <c r="I15" s="24"/>
      <c r="J15" s="24"/>
      <c r="K15" s="24"/>
      <c r="L15" s="24">
        <f>X13</f>
        <v>21</v>
      </c>
      <c r="M15" s="24"/>
      <c r="N15" s="23"/>
      <c r="O15" s="23"/>
      <c r="P15" s="23"/>
      <c r="Q15" s="23"/>
      <c r="R15" s="23"/>
      <c r="S15" s="23"/>
      <c r="T15" s="23"/>
      <c r="U15" s="21"/>
      <c r="V15" s="23"/>
      <c r="W15" s="25"/>
      <c r="X15" s="23"/>
      <c r="Y15" s="25"/>
      <c r="Z15" s="26"/>
      <c r="AA15" s="26"/>
      <c r="AB15" s="26"/>
      <c r="AC15" s="26"/>
      <c r="AD15" s="26"/>
      <c r="AE15" s="21"/>
      <c r="AF15" s="23"/>
      <c r="AG15" s="25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7"/>
    </row>
    <row r="16" spans="1:45" s="1" customFormat="1" ht="25.5" x14ac:dyDescent="0.25">
      <c r="A16" s="28"/>
      <c r="B16" s="29">
        <v>1</v>
      </c>
      <c r="C16" s="30" t="s">
        <v>82</v>
      </c>
      <c r="D16" s="31" t="s">
        <v>83</v>
      </c>
      <c r="E16" s="31"/>
      <c r="F16" s="32">
        <v>60</v>
      </c>
      <c r="G16" s="33" t="s">
        <v>84</v>
      </c>
      <c r="H16" s="34">
        <f>33600000/1000</f>
        <v>33600</v>
      </c>
      <c r="I16" s="35"/>
      <c r="J16" s="35"/>
      <c r="K16" s="35"/>
      <c r="L16" s="35"/>
      <c r="M16" s="35"/>
      <c r="N16" s="36"/>
      <c r="O16" s="36"/>
      <c r="P16" s="36"/>
      <c r="Q16" s="36"/>
      <c r="R16" s="36"/>
      <c r="S16" s="35"/>
      <c r="T16" s="34"/>
      <c r="U16" s="35"/>
      <c r="V16" s="36"/>
      <c r="W16" s="37"/>
      <c r="X16" s="36"/>
      <c r="Y16" s="38"/>
      <c r="Z16" s="39"/>
      <c r="AA16" s="39"/>
      <c r="AB16" s="39"/>
      <c r="AC16" s="39"/>
      <c r="AD16" s="39"/>
      <c r="AE16" s="36"/>
      <c r="AF16" s="40"/>
      <c r="AG16" s="38"/>
      <c r="AH16" s="41"/>
      <c r="AI16" s="41"/>
      <c r="AJ16" s="41"/>
      <c r="AK16" s="41"/>
      <c r="AL16" s="41"/>
      <c r="AM16" s="41"/>
      <c r="AN16" s="41"/>
      <c r="AO16" s="42"/>
      <c r="AP16" s="42"/>
      <c r="AQ16" s="43"/>
      <c r="AR16" s="43"/>
      <c r="AS16" s="767"/>
    </row>
    <row r="17" spans="1:45" s="1" customFormat="1" ht="25.5" x14ac:dyDescent="0.25">
      <c r="A17" s="44"/>
      <c r="B17" s="29">
        <v>2</v>
      </c>
      <c r="C17" s="30" t="s">
        <v>85</v>
      </c>
      <c r="D17" s="31" t="s">
        <v>86</v>
      </c>
      <c r="E17" s="31"/>
      <c r="F17" s="32">
        <v>60</v>
      </c>
      <c r="G17" s="33" t="s">
        <v>84</v>
      </c>
      <c r="H17" s="34">
        <f>447000000/1000</f>
        <v>447000</v>
      </c>
      <c r="I17" s="35"/>
      <c r="J17" s="35"/>
      <c r="K17" s="35"/>
      <c r="L17" s="35"/>
      <c r="M17" s="35"/>
      <c r="N17" s="36"/>
      <c r="O17" s="36"/>
      <c r="P17" s="36"/>
      <c r="Q17" s="36"/>
      <c r="R17" s="36"/>
      <c r="S17" s="35"/>
      <c r="T17" s="34"/>
      <c r="U17" s="35"/>
      <c r="V17" s="36"/>
      <c r="W17" s="37"/>
      <c r="X17" s="36"/>
      <c r="Y17" s="38"/>
      <c r="Z17" s="39"/>
      <c r="AA17" s="39"/>
      <c r="AB17" s="39"/>
      <c r="AC17" s="39"/>
      <c r="AD17" s="39"/>
      <c r="AE17" s="36"/>
      <c r="AF17" s="40"/>
      <c r="AG17" s="38"/>
      <c r="AH17" s="41"/>
      <c r="AI17" s="41"/>
      <c r="AJ17" s="41"/>
      <c r="AK17" s="41"/>
      <c r="AL17" s="41"/>
      <c r="AM17" s="41"/>
      <c r="AN17" s="41"/>
      <c r="AO17" s="42"/>
      <c r="AP17" s="42"/>
      <c r="AQ17" s="43"/>
      <c r="AR17" s="43"/>
      <c r="AS17" s="768"/>
    </row>
    <row r="18" spans="1:45" s="1" customFormat="1" ht="25.5" x14ac:dyDescent="0.25">
      <c r="A18" s="44"/>
      <c r="B18" s="29">
        <v>3</v>
      </c>
      <c r="C18" s="30" t="s">
        <v>87</v>
      </c>
      <c r="D18" s="31" t="s">
        <v>88</v>
      </c>
      <c r="E18" s="31"/>
      <c r="F18" s="32">
        <v>60</v>
      </c>
      <c r="G18" s="33" t="s">
        <v>84</v>
      </c>
      <c r="H18" s="34">
        <f>2079000000/1000</f>
        <v>2079000</v>
      </c>
      <c r="I18" s="35"/>
      <c r="J18" s="35"/>
      <c r="K18" s="35"/>
      <c r="L18" s="35"/>
      <c r="M18" s="35"/>
      <c r="N18" s="36"/>
      <c r="O18" s="36"/>
      <c r="P18" s="36"/>
      <c r="Q18" s="36"/>
      <c r="R18" s="36"/>
      <c r="S18" s="35"/>
      <c r="T18" s="34"/>
      <c r="U18" s="35"/>
      <c r="V18" s="36"/>
      <c r="W18" s="37"/>
      <c r="X18" s="36"/>
      <c r="Y18" s="38"/>
      <c r="Z18" s="39"/>
      <c r="AA18" s="39"/>
      <c r="AB18" s="39"/>
      <c r="AC18" s="39"/>
      <c r="AD18" s="39"/>
      <c r="AE18" s="36"/>
      <c r="AF18" s="40"/>
      <c r="AG18" s="38"/>
      <c r="AH18" s="41"/>
      <c r="AI18" s="41"/>
      <c r="AJ18" s="41"/>
      <c r="AK18" s="41"/>
      <c r="AL18" s="41"/>
      <c r="AM18" s="41"/>
      <c r="AN18" s="41"/>
      <c r="AO18" s="42"/>
      <c r="AP18" s="42"/>
      <c r="AQ18" s="43"/>
      <c r="AR18" s="43"/>
      <c r="AS18" s="768"/>
    </row>
    <row r="19" spans="1:45" s="1" customFormat="1" ht="25.5" x14ac:dyDescent="0.25">
      <c r="A19" s="44"/>
      <c r="B19" s="29">
        <v>4</v>
      </c>
      <c r="C19" s="30" t="s">
        <v>89</v>
      </c>
      <c r="D19" s="31" t="s">
        <v>90</v>
      </c>
      <c r="E19" s="31"/>
      <c r="F19" s="32">
        <v>60</v>
      </c>
      <c r="G19" s="33" t="s">
        <v>84</v>
      </c>
      <c r="H19" s="34">
        <f>74000000/1000</f>
        <v>74000</v>
      </c>
      <c r="I19" s="35"/>
      <c r="J19" s="35"/>
      <c r="K19" s="35"/>
      <c r="L19" s="35"/>
      <c r="M19" s="35"/>
      <c r="N19" s="36"/>
      <c r="O19" s="36"/>
      <c r="P19" s="36"/>
      <c r="Q19" s="36"/>
      <c r="R19" s="36"/>
      <c r="S19" s="35"/>
      <c r="T19" s="34"/>
      <c r="U19" s="35"/>
      <c r="V19" s="36"/>
      <c r="W19" s="37"/>
      <c r="X19" s="36"/>
      <c r="Y19" s="38"/>
      <c r="Z19" s="39"/>
      <c r="AA19" s="39"/>
      <c r="AB19" s="39"/>
      <c r="AC19" s="39"/>
      <c r="AD19" s="39"/>
      <c r="AE19" s="36"/>
      <c r="AF19" s="40"/>
      <c r="AG19" s="38"/>
      <c r="AH19" s="41"/>
      <c r="AI19" s="41"/>
      <c r="AJ19" s="41"/>
      <c r="AK19" s="41"/>
      <c r="AL19" s="41"/>
      <c r="AM19" s="41"/>
      <c r="AN19" s="41"/>
      <c r="AO19" s="42"/>
      <c r="AP19" s="42"/>
      <c r="AQ19" s="43"/>
      <c r="AR19" s="43"/>
      <c r="AS19" s="768"/>
    </row>
    <row r="20" spans="1:45" s="1" customFormat="1" ht="12.75" x14ac:dyDescent="0.25">
      <c r="A20" s="44"/>
      <c r="B20" s="29">
        <v>5</v>
      </c>
      <c r="C20" s="30" t="s">
        <v>91</v>
      </c>
      <c r="D20" s="31" t="s">
        <v>92</v>
      </c>
      <c r="E20" s="31"/>
      <c r="F20" s="32">
        <v>60</v>
      </c>
      <c r="G20" s="33" t="s">
        <v>84</v>
      </c>
      <c r="H20" s="34">
        <f>45000000/1000</f>
        <v>45000</v>
      </c>
      <c r="I20" s="35"/>
      <c r="J20" s="35"/>
      <c r="K20" s="35"/>
      <c r="L20" s="35"/>
      <c r="M20" s="35"/>
      <c r="N20" s="36"/>
      <c r="O20" s="36"/>
      <c r="P20" s="36"/>
      <c r="Q20" s="36"/>
      <c r="R20" s="36"/>
      <c r="S20" s="35"/>
      <c r="T20" s="34"/>
      <c r="U20" s="35"/>
      <c r="V20" s="36"/>
      <c r="W20" s="37"/>
      <c r="X20" s="36"/>
      <c r="Y20" s="38"/>
      <c r="Z20" s="39"/>
      <c r="AA20" s="39"/>
      <c r="AB20" s="39"/>
      <c r="AC20" s="39"/>
      <c r="AD20" s="39"/>
      <c r="AE20" s="36"/>
      <c r="AF20" s="40"/>
      <c r="AG20" s="38"/>
      <c r="AH20" s="41"/>
      <c r="AI20" s="41"/>
      <c r="AJ20" s="41"/>
      <c r="AK20" s="41"/>
      <c r="AL20" s="41"/>
      <c r="AM20" s="41"/>
      <c r="AN20" s="41"/>
      <c r="AO20" s="42"/>
      <c r="AP20" s="42"/>
      <c r="AQ20" s="43"/>
      <c r="AR20" s="43"/>
      <c r="AS20" s="768"/>
    </row>
    <row r="21" spans="1:45" s="1" customFormat="1" ht="12.75" x14ac:dyDescent="0.25">
      <c r="A21" s="44"/>
      <c r="B21" s="29">
        <v>6</v>
      </c>
      <c r="C21" s="30" t="s">
        <v>93</v>
      </c>
      <c r="D21" s="45" t="s">
        <v>94</v>
      </c>
      <c r="E21" s="45"/>
      <c r="F21" s="32">
        <v>60</v>
      </c>
      <c r="G21" s="33" t="s">
        <v>84</v>
      </c>
      <c r="H21" s="34">
        <f>667000000/1000</f>
        <v>667000</v>
      </c>
      <c r="I21" s="35"/>
      <c r="J21" s="35"/>
      <c r="K21" s="35"/>
      <c r="L21" s="35"/>
      <c r="M21" s="35"/>
      <c r="N21" s="36"/>
      <c r="O21" s="36"/>
      <c r="P21" s="36"/>
      <c r="Q21" s="36"/>
      <c r="R21" s="36"/>
      <c r="S21" s="35"/>
      <c r="T21" s="34"/>
      <c r="U21" s="35"/>
      <c r="V21" s="36"/>
      <c r="W21" s="37"/>
      <c r="X21" s="36"/>
      <c r="Y21" s="38"/>
      <c r="Z21" s="39"/>
      <c r="AA21" s="39"/>
      <c r="AB21" s="39"/>
      <c r="AC21" s="39"/>
      <c r="AD21" s="39"/>
      <c r="AE21" s="36"/>
      <c r="AF21" s="40"/>
      <c r="AG21" s="38"/>
      <c r="AH21" s="41"/>
      <c r="AI21" s="41"/>
      <c r="AJ21" s="41"/>
      <c r="AK21" s="41"/>
      <c r="AL21" s="41"/>
      <c r="AM21" s="41"/>
      <c r="AN21" s="41"/>
      <c r="AO21" s="42"/>
      <c r="AP21" s="42"/>
      <c r="AQ21" s="43"/>
      <c r="AR21" s="43"/>
      <c r="AS21" s="768"/>
    </row>
    <row r="22" spans="1:45" s="1" customFormat="1" ht="25.5" x14ac:dyDescent="0.25">
      <c r="A22" s="44"/>
      <c r="B22" s="29">
        <v>7</v>
      </c>
      <c r="C22" s="30" t="s">
        <v>95</v>
      </c>
      <c r="D22" s="31" t="s">
        <v>96</v>
      </c>
      <c r="E22" s="31"/>
      <c r="F22" s="32">
        <v>60</v>
      </c>
      <c r="G22" s="33" t="s">
        <v>84</v>
      </c>
      <c r="H22" s="34">
        <f>753000000/1000</f>
        <v>753000</v>
      </c>
      <c r="I22" s="35"/>
      <c r="J22" s="35"/>
      <c r="K22" s="35"/>
      <c r="L22" s="35"/>
      <c r="M22" s="35"/>
      <c r="N22" s="36"/>
      <c r="O22" s="36"/>
      <c r="P22" s="36"/>
      <c r="Q22" s="36"/>
      <c r="R22" s="36"/>
      <c r="S22" s="35"/>
      <c r="T22" s="34"/>
      <c r="U22" s="35"/>
      <c r="V22" s="36"/>
      <c r="W22" s="37"/>
      <c r="X22" s="36"/>
      <c r="Y22" s="38"/>
      <c r="Z22" s="39"/>
      <c r="AA22" s="39"/>
      <c r="AB22" s="39"/>
      <c r="AC22" s="39"/>
      <c r="AD22" s="39"/>
      <c r="AE22" s="36"/>
      <c r="AF22" s="40"/>
      <c r="AG22" s="38"/>
      <c r="AH22" s="41"/>
      <c r="AI22" s="41"/>
      <c r="AJ22" s="41"/>
      <c r="AK22" s="41"/>
      <c r="AL22" s="41"/>
      <c r="AM22" s="41"/>
      <c r="AN22" s="41"/>
      <c r="AO22" s="42"/>
      <c r="AP22" s="42"/>
      <c r="AQ22" s="43"/>
      <c r="AR22" s="43"/>
      <c r="AS22" s="768"/>
    </row>
    <row r="23" spans="1:45" s="1" customFormat="1" ht="25.5" x14ac:dyDescent="0.25">
      <c r="A23" s="44"/>
      <c r="B23" s="29">
        <v>8</v>
      </c>
      <c r="C23" s="30" t="s">
        <v>97</v>
      </c>
      <c r="D23" s="45" t="s">
        <v>98</v>
      </c>
      <c r="E23" s="45"/>
      <c r="F23" s="32">
        <v>60</v>
      </c>
      <c r="G23" s="33" t="s">
        <v>84</v>
      </c>
      <c r="H23" s="34">
        <f>887000000/1000</f>
        <v>887000</v>
      </c>
      <c r="I23" s="35"/>
      <c r="J23" s="35"/>
      <c r="K23" s="35"/>
      <c r="L23" s="35"/>
      <c r="M23" s="35"/>
      <c r="N23" s="36"/>
      <c r="O23" s="36"/>
      <c r="P23" s="36"/>
      <c r="Q23" s="36"/>
      <c r="R23" s="36"/>
      <c r="S23" s="35"/>
      <c r="T23" s="34"/>
      <c r="U23" s="35"/>
      <c r="V23" s="36"/>
      <c r="W23" s="37"/>
      <c r="X23" s="36"/>
      <c r="Y23" s="38"/>
      <c r="Z23" s="39"/>
      <c r="AA23" s="39"/>
      <c r="AB23" s="39"/>
      <c r="AC23" s="39"/>
      <c r="AD23" s="39"/>
      <c r="AE23" s="36"/>
      <c r="AF23" s="40"/>
      <c r="AG23" s="38"/>
      <c r="AH23" s="41"/>
      <c r="AI23" s="41"/>
      <c r="AJ23" s="41"/>
      <c r="AK23" s="41"/>
      <c r="AL23" s="41"/>
      <c r="AM23" s="41"/>
      <c r="AN23" s="41"/>
      <c r="AO23" s="42"/>
      <c r="AP23" s="42"/>
      <c r="AQ23" s="43"/>
      <c r="AR23" s="43"/>
      <c r="AS23" s="768"/>
    </row>
    <row r="24" spans="1:45" s="1" customFormat="1" ht="25.5" x14ac:dyDescent="0.25">
      <c r="A24" s="44"/>
      <c r="B24" s="29">
        <v>9</v>
      </c>
      <c r="C24" s="30" t="s">
        <v>99</v>
      </c>
      <c r="D24" s="31" t="s">
        <v>100</v>
      </c>
      <c r="E24" s="31"/>
      <c r="F24" s="32">
        <v>20</v>
      </c>
      <c r="G24" s="33" t="s">
        <v>101</v>
      </c>
      <c r="H24" s="34">
        <f>1665000000/1000</f>
        <v>1665000</v>
      </c>
      <c r="I24" s="35"/>
      <c r="J24" s="35"/>
      <c r="K24" s="35"/>
      <c r="L24" s="35"/>
      <c r="M24" s="35"/>
      <c r="N24" s="36"/>
      <c r="O24" s="36"/>
      <c r="P24" s="36"/>
      <c r="Q24" s="36"/>
      <c r="R24" s="36"/>
      <c r="S24" s="35"/>
      <c r="T24" s="34"/>
      <c r="U24" s="35"/>
      <c r="V24" s="36"/>
      <c r="W24" s="37"/>
      <c r="X24" s="36"/>
      <c r="Y24" s="38"/>
      <c r="Z24" s="39"/>
      <c r="AA24" s="39"/>
      <c r="AB24" s="39"/>
      <c r="AC24" s="39"/>
      <c r="AD24" s="39"/>
      <c r="AE24" s="36"/>
      <c r="AF24" s="40"/>
      <c r="AG24" s="38"/>
      <c r="AH24" s="41"/>
      <c r="AI24" s="41"/>
      <c r="AJ24" s="41"/>
      <c r="AK24" s="41"/>
      <c r="AL24" s="41"/>
      <c r="AM24" s="41"/>
      <c r="AN24" s="41"/>
      <c r="AO24" s="42"/>
      <c r="AP24" s="42"/>
      <c r="AQ24" s="43"/>
      <c r="AR24" s="43"/>
      <c r="AS24" s="768"/>
    </row>
    <row r="25" spans="1:45" s="1" customFormat="1" ht="25.5" x14ac:dyDescent="0.25">
      <c r="A25" s="44"/>
      <c r="B25" s="29">
        <v>10</v>
      </c>
      <c r="C25" s="30" t="s">
        <v>102</v>
      </c>
      <c r="D25" s="31" t="s">
        <v>103</v>
      </c>
      <c r="E25" s="31"/>
      <c r="F25" s="32">
        <v>60</v>
      </c>
      <c r="G25" s="33" t="s">
        <v>84</v>
      </c>
      <c r="H25" s="34">
        <f>75000000/1000</f>
        <v>75000</v>
      </c>
      <c r="I25" s="35"/>
      <c r="J25" s="35"/>
      <c r="K25" s="35"/>
      <c r="L25" s="35"/>
      <c r="M25" s="35"/>
      <c r="N25" s="36"/>
      <c r="O25" s="36"/>
      <c r="P25" s="36"/>
      <c r="Q25" s="36"/>
      <c r="R25" s="36"/>
      <c r="S25" s="35"/>
      <c r="T25" s="34"/>
      <c r="U25" s="35"/>
      <c r="V25" s="36"/>
      <c r="W25" s="37"/>
      <c r="X25" s="36"/>
      <c r="Y25" s="38"/>
      <c r="Z25" s="39"/>
      <c r="AA25" s="39"/>
      <c r="AB25" s="39"/>
      <c r="AC25" s="39"/>
      <c r="AD25" s="39"/>
      <c r="AE25" s="36"/>
      <c r="AF25" s="40"/>
      <c r="AG25" s="38"/>
      <c r="AH25" s="41"/>
      <c r="AI25" s="41"/>
      <c r="AJ25" s="41"/>
      <c r="AK25" s="41"/>
      <c r="AL25" s="41"/>
      <c r="AM25" s="41"/>
      <c r="AN25" s="41"/>
      <c r="AO25" s="42"/>
      <c r="AP25" s="42"/>
      <c r="AQ25" s="43"/>
      <c r="AR25" s="43"/>
      <c r="AS25" s="768"/>
    </row>
    <row r="26" spans="1:45" s="1" customFormat="1" ht="25.5" x14ac:dyDescent="0.25">
      <c r="A26" s="44"/>
      <c r="B26" s="29">
        <v>11</v>
      </c>
      <c r="C26" s="30" t="s">
        <v>104</v>
      </c>
      <c r="D26" s="31" t="s">
        <v>105</v>
      </c>
      <c r="E26" s="31"/>
      <c r="F26" s="32">
        <v>60</v>
      </c>
      <c r="G26" s="33" t="s">
        <v>84</v>
      </c>
      <c r="H26" s="34">
        <f>456000000/1000</f>
        <v>456000</v>
      </c>
      <c r="I26" s="35"/>
      <c r="J26" s="35"/>
      <c r="K26" s="35"/>
      <c r="L26" s="35"/>
      <c r="M26" s="35"/>
      <c r="N26" s="36"/>
      <c r="O26" s="36"/>
      <c r="P26" s="36"/>
      <c r="Q26" s="36"/>
      <c r="R26" s="36"/>
      <c r="S26" s="35"/>
      <c r="T26" s="34"/>
      <c r="U26" s="35"/>
      <c r="V26" s="36"/>
      <c r="W26" s="37"/>
      <c r="X26" s="36"/>
      <c r="Y26" s="38"/>
      <c r="Z26" s="39"/>
      <c r="AA26" s="39"/>
      <c r="AB26" s="39"/>
      <c r="AC26" s="39"/>
      <c r="AD26" s="39"/>
      <c r="AE26" s="36"/>
      <c r="AF26" s="40"/>
      <c r="AG26" s="38"/>
      <c r="AH26" s="41"/>
      <c r="AI26" s="41"/>
      <c r="AJ26" s="41"/>
      <c r="AK26" s="41"/>
      <c r="AL26" s="41"/>
      <c r="AM26" s="41"/>
      <c r="AN26" s="41"/>
      <c r="AO26" s="42"/>
      <c r="AP26" s="42"/>
      <c r="AQ26" s="43"/>
      <c r="AR26" s="43"/>
      <c r="AS26" s="768"/>
    </row>
    <row r="27" spans="1:45" s="1" customFormat="1" ht="25.5" x14ac:dyDescent="0.25">
      <c r="A27" s="44"/>
      <c r="B27" s="29">
        <v>12</v>
      </c>
      <c r="C27" s="30" t="s">
        <v>106</v>
      </c>
      <c r="D27" s="31" t="s">
        <v>107</v>
      </c>
      <c r="E27" s="31"/>
      <c r="F27" s="32">
        <v>60</v>
      </c>
      <c r="G27" s="33" t="s">
        <v>84</v>
      </c>
      <c r="H27" s="34">
        <f>667000000/1000</f>
        <v>667000</v>
      </c>
      <c r="I27" s="35"/>
      <c r="J27" s="35"/>
      <c r="K27" s="35"/>
      <c r="L27" s="35"/>
      <c r="M27" s="35"/>
      <c r="N27" s="36"/>
      <c r="O27" s="36"/>
      <c r="P27" s="36"/>
      <c r="Q27" s="36"/>
      <c r="R27" s="36"/>
      <c r="S27" s="35"/>
      <c r="T27" s="34"/>
      <c r="U27" s="35"/>
      <c r="V27" s="36"/>
      <c r="W27" s="37"/>
      <c r="X27" s="36"/>
      <c r="Y27" s="38"/>
      <c r="Z27" s="39"/>
      <c r="AA27" s="39"/>
      <c r="AB27" s="39"/>
      <c r="AC27" s="39"/>
      <c r="AD27" s="39"/>
      <c r="AE27" s="36"/>
      <c r="AF27" s="40"/>
      <c r="AG27" s="38"/>
      <c r="AH27" s="41"/>
      <c r="AI27" s="41"/>
      <c r="AJ27" s="41"/>
      <c r="AK27" s="41"/>
      <c r="AL27" s="41"/>
      <c r="AM27" s="41"/>
      <c r="AN27" s="41"/>
      <c r="AO27" s="42"/>
      <c r="AP27" s="42"/>
      <c r="AQ27" s="43"/>
      <c r="AR27" s="43"/>
      <c r="AS27" s="768"/>
    </row>
    <row r="28" spans="1:45" s="1" customFormat="1" ht="12.75" x14ac:dyDescent="0.25">
      <c r="A28" s="44"/>
      <c r="B28" s="29">
        <v>13</v>
      </c>
      <c r="C28" s="30" t="s">
        <v>108</v>
      </c>
      <c r="D28" s="45" t="s">
        <v>109</v>
      </c>
      <c r="E28" s="45"/>
      <c r="F28" s="32">
        <v>55</v>
      </c>
      <c r="G28" s="33" t="s">
        <v>84</v>
      </c>
      <c r="H28" s="34">
        <f>1010000000/1000</f>
        <v>1010000</v>
      </c>
      <c r="I28" s="35"/>
      <c r="J28" s="35"/>
      <c r="K28" s="35"/>
      <c r="L28" s="35"/>
      <c r="M28" s="35"/>
      <c r="N28" s="36"/>
      <c r="O28" s="36"/>
      <c r="P28" s="36"/>
      <c r="Q28" s="36"/>
      <c r="R28" s="36"/>
      <c r="S28" s="35"/>
      <c r="T28" s="34"/>
      <c r="U28" s="35"/>
      <c r="V28" s="36"/>
      <c r="W28" s="37"/>
      <c r="X28" s="36"/>
      <c r="Y28" s="38"/>
      <c r="Z28" s="39"/>
      <c r="AA28" s="39"/>
      <c r="AB28" s="39"/>
      <c r="AC28" s="39"/>
      <c r="AD28" s="39"/>
      <c r="AE28" s="36"/>
      <c r="AF28" s="40"/>
      <c r="AG28" s="38"/>
      <c r="AH28" s="41"/>
      <c r="AI28" s="41"/>
      <c r="AJ28" s="41"/>
      <c r="AK28" s="41"/>
      <c r="AL28" s="41"/>
      <c r="AM28" s="41"/>
      <c r="AN28" s="41"/>
      <c r="AO28" s="42"/>
      <c r="AP28" s="42"/>
      <c r="AQ28" s="43"/>
      <c r="AR28" s="43"/>
      <c r="AS28" s="768"/>
    </row>
    <row r="29" spans="1:45" s="1" customFormat="1" ht="30" customHeight="1" x14ac:dyDescent="0.25">
      <c r="A29" s="44"/>
      <c r="B29" s="29">
        <v>14</v>
      </c>
      <c r="C29" s="30" t="s">
        <v>110</v>
      </c>
      <c r="D29" s="31" t="s">
        <v>111</v>
      </c>
      <c r="E29" s="31"/>
      <c r="F29" s="32">
        <v>60</v>
      </c>
      <c r="G29" s="33" t="s">
        <v>84</v>
      </c>
      <c r="H29" s="34">
        <f>752766250/1000</f>
        <v>752766.25</v>
      </c>
      <c r="I29" s="35"/>
      <c r="J29" s="35"/>
      <c r="K29" s="35"/>
      <c r="L29" s="35"/>
      <c r="M29" s="35"/>
      <c r="N29" s="36"/>
      <c r="O29" s="36"/>
      <c r="P29" s="36"/>
      <c r="Q29" s="36"/>
      <c r="R29" s="36"/>
      <c r="S29" s="35"/>
      <c r="T29" s="34"/>
      <c r="U29" s="35"/>
      <c r="V29" s="36"/>
      <c r="W29" s="37"/>
      <c r="X29" s="36"/>
      <c r="Y29" s="38"/>
      <c r="Z29" s="39"/>
      <c r="AA29" s="39"/>
      <c r="AB29" s="39"/>
      <c r="AC29" s="39"/>
      <c r="AD29" s="39"/>
      <c r="AE29" s="36"/>
      <c r="AF29" s="40"/>
      <c r="AG29" s="38"/>
      <c r="AH29" s="41"/>
      <c r="AI29" s="41"/>
      <c r="AJ29" s="41"/>
      <c r="AK29" s="41"/>
      <c r="AL29" s="41"/>
      <c r="AM29" s="41"/>
      <c r="AN29" s="41"/>
      <c r="AO29" s="42"/>
      <c r="AP29" s="42"/>
      <c r="AQ29" s="43"/>
      <c r="AR29" s="43"/>
      <c r="AS29" s="768"/>
    </row>
    <row r="30" spans="1:45" s="1" customFormat="1" ht="29.25" customHeight="1" x14ac:dyDescent="0.25">
      <c r="A30" s="44"/>
      <c r="B30" s="29">
        <v>15</v>
      </c>
      <c r="C30" s="30" t="s">
        <v>112</v>
      </c>
      <c r="D30" s="31" t="s">
        <v>113</v>
      </c>
      <c r="E30" s="31"/>
      <c r="F30" s="32">
        <v>60</v>
      </c>
      <c r="G30" s="33" t="s">
        <v>84</v>
      </c>
      <c r="H30" s="34">
        <f>810210250/1000</f>
        <v>810210.25</v>
      </c>
      <c r="I30" s="35"/>
      <c r="J30" s="35"/>
      <c r="K30" s="35"/>
      <c r="L30" s="35"/>
      <c r="M30" s="35"/>
      <c r="N30" s="36"/>
      <c r="O30" s="36"/>
      <c r="P30" s="36"/>
      <c r="Q30" s="36"/>
      <c r="R30" s="36"/>
      <c r="S30" s="35"/>
      <c r="T30" s="34"/>
      <c r="U30" s="35"/>
      <c r="V30" s="36"/>
      <c r="W30" s="37"/>
      <c r="X30" s="36"/>
      <c r="Y30" s="38"/>
      <c r="Z30" s="39"/>
      <c r="AA30" s="39"/>
      <c r="AB30" s="39"/>
      <c r="AC30" s="39"/>
      <c r="AD30" s="39"/>
      <c r="AE30" s="36"/>
      <c r="AF30" s="40"/>
      <c r="AG30" s="38"/>
      <c r="AH30" s="41"/>
      <c r="AI30" s="41"/>
      <c r="AJ30" s="41"/>
      <c r="AK30" s="41"/>
      <c r="AL30" s="41"/>
      <c r="AM30" s="41"/>
      <c r="AN30" s="41"/>
      <c r="AO30" s="42"/>
      <c r="AP30" s="42"/>
      <c r="AQ30" s="43"/>
      <c r="AR30" s="43"/>
      <c r="AS30" s="768"/>
    </row>
    <row r="31" spans="1:45" s="1" customFormat="1" ht="26.45" customHeight="1" x14ac:dyDescent="0.25">
      <c r="A31" s="44"/>
      <c r="B31" s="29">
        <v>16</v>
      </c>
      <c r="C31" s="30" t="s">
        <v>114</v>
      </c>
      <c r="D31" s="31" t="s">
        <v>115</v>
      </c>
      <c r="E31" s="31"/>
      <c r="F31" s="32">
        <v>60</v>
      </c>
      <c r="G31" s="33" t="s">
        <v>84</v>
      </c>
      <c r="H31" s="34">
        <f>906810250/1000</f>
        <v>906810.25</v>
      </c>
      <c r="I31" s="35"/>
      <c r="J31" s="35"/>
      <c r="K31" s="35"/>
      <c r="L31" s="35"/>
      <c r="M31" s="35"/>
      <c r="N31" s="36"/>
      <c r="O31" s="36"/>
      <c r="P31" s="36"/>
      <c r="Q31" s="36"/>
      <c r="R31" s="36"/>
      <c r="S31" s="35"/>
      <c r="T31" s="34"/>
      <c r="U31" s="35"/>
      <c r="V31" s="36"/>
      <c r="W31" s="37"/>
      <c r="X31" s="36"/>
      <c r="Y31" s="38"/>
      <c r="Z31" s="39"/>
      <c r="AA31" s="39"/>
      <c r="AB31" s="39"/>
      <c r="AC31" s="39"/>
      <c r="AD31" s="39"/>
      <c r="AE31" s="36"/>
      <c r="AF31" s="40"/>
      <c r="AG31" s="38"/>
      <c r="AH31" s="41"/>
      <c r="AI31" s="41"/>
      <c r="AJ31" s="41"/>
      <c r="AK31" s="41"/>
      <c r="AL31" s="41"/>
      <c r="AM31" s="41"/>
      <c r="AN31" s="41"/>
      <c r="AO31" s="42"/>
      <c r="AP31" s="42"/>
      <c r="AQ31" s="43"/>
      <c r="AR31" s="43"/>
      <c r="AS31" s="768"/>
    </row>
    <row r="32" spans="1:45" s="1" customFormat="1" ht="25.5" x14ac:dyDescent="0.25">
      <c r="A32" s="44"/>
      <c r="B32" s="29">
        <v>17</v>
      </c>
      <c r="C32" s="30" t="s">
        <v>116</v>
      </c>
      <c r="D32" s="31" t="s">
        <v>117</v>
      </c>
      <c r="E32" s="31"/>
      <c r="F32" s="32">
        <v>60</v>
      </c>
      <c r="G32" s="33" t="s">
        <v>84</v>
      </c>
      <c r="H32" s="34">
        <f>810110250/1000</f>
        <v>810110.25</v>
      </c>
      <c r="I32" s="35"/>
      <c r="J32" s="35"/>
      <c r="K32" s="35"/>
      <c r="L32" s="35"/>
      <c r="M32" s="35"/>
      <c r="N32" s="36"/>
      <c r="O32" s="36"/>
      <c r="P32" s="36"/>
      <c r="Q32" s="36"/>
      <c r="R32" s="36"/>
      <c r="S32" s="35"/>
      <c r="T32" s="34"/>
      <c r="U32" s="35"/>
      <c r="V32" s="36"/>
      <c r="W32" s="37"/>
      <c r="X32" s="36"/>
      <c r="Y32" s="38"/>
      <c r="Z32" s="39"/>
      <c r="AA32" s="39"/>
      <c r="AB32" s="39"/>
      <c r="AC32" s="39"/>
      <c r="AD32" s="39"/>
      <c r="AE32" s="36"/>
      <c r="AF32" s="40"/>
      <c r="AG32" s="38"/>
      <c r="AH32" s="41"/>
      <c r="AI32" s="41"/>
      <c r="AJ32" s="41"/>
      <c r="AK32" s="41"/>
      <c r="AL32" s="41"/>
      <c r="AM32" s="41"/>
      <c r="AN32" s="41"/>
      <c r="AO32" s="42"/>
      <c r="AP32" s="42"/>
      <c r="AQ32" s="43"/>
      <c r="AR32" s="43"/>
      <c r="AS32" s="768"/>
    </row>
    <row r="33" spans="1:45" s="1" customFormat="1" ht="25.5" x14ac:dyDescent="0.25">
      <c r="A33" s="44"/>
      <c r="B33" s="29">
        <v>18</v>
      </c>
      <c r="C33" s="30" t="s">
        <v>118</v>
      </c>
      <c r="D33" s="31" t="s">
        <v>119</v>
      </c>
      <c r="E33" s="31"/>
      <c r="F33" s="32">
        <v>60</v>
      </c>
      <c r="G33" s="33" t="s">
        <v>84</v>
      </c>
      <c r="H33" s="34">
        <f>746256497.34/1000</f>
        <v>746256.49734</v>
      </c>
      <c r="I33" s="35"/>
      <c r="J33" s="35"/>
      <c r="K33" s="35"/>
      <c r="L33" s="35"/>
      <c r="M33" s="35"/>
      <c r="N33" s="36"/>
      <c r="O33" s="36"/>
      <c r="P33" s="36"/>
      <c r="Q33" s="36"/>
      <c r="R33" s="36"/>
      <c r="S33" s="35"/>
      <c r="T33" s="34"/>
      <c r="U33" s="35"/>
      <c r="V33" s="36"/>
      <c r="W33" s="37"/>
      <c r="X33" s="36"/>
      <c r="Y33" s="38"/>
      <c r="Z33" s="39"/>
      <c r="AA33" s="39"/>
      <c r="AB33" s="39"/>
      <c r="AC33" s="39"/>
      <c r="AD33" s="39"/>
      <c r="AE33" s="36"/>
      <c r="AF33" s="40"/>
      <c r="AG33" s="38"/>
      <c r="AH33" s="41"/>
      <c r="AI33" s="41"/>
      <c r="AJ33" s="41"/>
      <c r="AK33" s="41"/>
      <c r="AL33" s="41"/>
      <c r="AM33" s="41"/>
      <c r="AN33" s="41"/>
      <c r="AO33" s="42"/>
      <c r="AP33" s="42"/>
      <c r="AQ33" s="43"/>
      <c r="AR33" s="43"/>
      <c r="AS33" s="768"/>
    </row>
    <row r="34" spans="1:45" s="1" customFormat="1" ht="25.5" x14ac:dyDescent="0.25">
      <c r="A34" s="44"/>
      <c r="B34" s="29">
        <v>19</v>
      </c>
      <c r="C34" s="30" t="s">
        <v>120</v>
      </c>
      <c r="D34" s="31" t="s">
        <v>121</v>
      </c>
      <c r="E34" s="31"/>
      <c r="F34" s="32">
        <v>60</v>
      </c>
      <c r="G34" s="33" t="s">
        <v>84</v>
      </c>
      <c r="H34" s="34">
        <f>734650250/1000</f>
        <v>734650.25</v>
      </c>
      <c r="I34" s="35"/>
      <c r="J34" s="35"/>
      <c r="K34" s="35"/>
      <c r="L34" s="35"/>
      <c r="M34" s="35"/>
      <c r="N34" s="36"/>
      <c r="O34" s="36"/>
      <c r="P34" s="36"/>
      <c r="Q34" s="36"/>
      <c r="R34" s="36"/>
      <c r="S34" s="35"/>
      <c r="T34" s="34"/>
      <c r="U34" s="35"/>
      <c r="V34" s="36"/>
      <c r="W34" s="37"/>
      <c r="X34" s="36"/>
      <c r="Y34" s="38"/>
      <c r="Z34" s="39"/>
      <c r="AA34" s="39"/>
      <c r="AB34" s="39"/>
      <c r="AC34" s="39"/>
      <c r="AD34" s="39"/>
      <c r="AE34" s="36"/>
      <c r="AF34" s="40"/>
      <c r="AG34" s="38"/>
      <c r="AH34" s="41"/>
      <c r="AI34" s="41"/>
      <c r="AJ34" s="41"/>
      <c r="AK34" s="41"/>
      <c r="AL34" s="41"/>
      <c r="AM34" s="41"/>
      <c r="AN34" s="41"/>
      <c r="AO34" s="42"/>
      <c r="AP34" s="42"/>
      <c r="AQ34" s="43"/>
      <c r="AR34" s="43"/>
      <c r="AS34" s="768"/>
    </row>
    <row r="35" spans="1:45" s="1" customFormat="1" ht="25.5" x14ac:dyDescent="0.25">
      <c r="A35" s="44"/>
      <c r="B35" s="29">
        <v>20</v>
      </c>
      <c r="C35" s="30" t="s">
        <v>122</v>
      </c>
      <c r="D35" s="31" t="s">
        <v>123</v>
      </c>
      <c r="E35" s="31"/>
      <c r="F35" s="32">
        <v>60</v>
      </c>
      <c r="G35" s="33" t="s">
        <v>84</v>
      </c>
      <c r="H35" s="34">
        <f>736010250/1000</f>
        <v>736010.25</v>
      </c>
      <c r="I35" s="35"/>
      <c r="J35" s="35"/>
      <c r="K35" s="35"/>
      <c r="L35" s="35"/>
      <c r="M35" s="35"/>
      <c r="N35" s="36"/>
      <c r="O35" s="36"/>
      <c r="P35" s="36"/>
      <c r="Q35" s="36"/>
      <c r="R35" s="36"/>
      <c r="S35" s="35"/>
      <c r="T35" s="34"/>
      <c r="U35" s="35"/>
      <c r="V35" s="36"/>
      <c r="W35" s="37"/>
      <c r="X35" s="36"/>
      <c r="Y35" s="38"/>
      <c r="Z35" s="39"/>
      <c r="AA35" s="39"/>
      <c r="AB35" s="39"/>
      <c r="AC35" s="39"/>
      <c r="AD35" s="39"/>
      <c r="AE35" s="36"/>
      <c r="AF35" s="40"/>
      <c r="AG35" s="38"/>
      <c r="AH35" s="41"/>
      <c r="AI35" s="41"/>
      <c r="AJ35" s="41"/>
      <c r="AK35" s="41"/>
      <c r="AL35" s="41"/>
      <c r="AM35" s="41"/>
      <c r="AN35" s="41"/>
      <c r="AO35" s="42"/>
      <c r="AP35" s="42"/>
      <c r="AQ35" s="43"/>
      <c r="AR35" s="43"/>
      <c r="AS35" s="768"/>
    </row>
    <row r="36" spans="1:45" s="1" customFormat="1" ht="25.5" x14ac:dyDescent="0.25">
      <c r="A36" s="44"/>
      <c r="B36" s="29">
        <v>21</v>
      </c>
      <c r="C36" s="30" t="s">
        <v>124</v>
      </c>
      <c r="D36" s="31" t="s">
        <v>125</v>
      </c>
      <c r="E36" s="31"/>
      <c r="F36" s="32">
        <v>60</v>
      </c>
      <c r="G36" s="33" t="s">
        <v>84</v>
      </c>
      <c r="H36" s="34">
        <f>859650250/1000</f>
        <v>859650.25</v>
      </c>
      <c r="I36" s="35"/>
      <c r="J36" s="35"/>
      <c r="K36" s="35"/>
      <c r="L36" s="35"/>
      <c r="M36" s="35"/>
      <c r="N36" s="36"/>
      <c r="O36" s="36"/>
      <c r="P36" s="36"/>
      <c r="Q36" s="36"/>
      <c r="R36" s="36"/>
      <c r="S36" s="35"/>
      <c r="T36" s="34"/>
      <c r="U36" s="35"/>
      <c r="V36" s="36"/>
      <c r="W36" s="37"/>
      <c r="X36" s="36"/>
      <c r="Y36" s="38"/>
      <c r="Z36" s="39"/>
      <c r="AA36" s="39"/>
      <c r="AB36" s="39"/>
      <c r="AC36" s="39"/>
      <c r="AD36" s="39"/>
      <c r="AE36" s="36"/>
      <c r="AF36" s="40"/>
      <c r="AG36" s="38"/>
      <c r="AH36" s="41"/>
      <c r="AI36" s="41"/>
      <c r="AJ36" s="41"/>
      <c r="AK36" s="41"/>
      <c r="AL36" s="41"/>
      <c r="AM36" s="41"/>
      <c r="AN36" s="41"/>
      <c r="AO36" s="42"/>
      <c r="AP36" s="42"/>
      <c r="AQ36" s="43"/>
      <c r="AR36" s="43"/>
      <c r="AS36" s="768"/>
    </row>
    <row r="37" spans="1:45" s="1" customFormat="1" ht="19.5" customHeight="1" x14ac:dyDescent="0.25">
      <c r="A37" s="44"/>
      <c r="B37" s="29">
        <v>22</v>
      </c>
      <c r="C37" s="30" t="s">
        <v>126</v>
      </c>
      <c r="D37" s="31" t="s">
        <v>127</v>
      </c>
      <c r="E37" s="31"/>
      <c r="F37" s="32">
        <v>60</v>
      </c>
      <c r="G37" s="33" t="s">
        <v>84</v>
      </c>
      <c r="H37" s="34">
        <f>793310250/1000</f>
        <v>793310.25</v>
      </c>
      <c r="I37" s="35"/>
      <c r="J37" s="35"/>
      <c r="K37" s="35"/>
      <c r="L37" s="35"/>
      <c r="M37" s="35"/>
      <c r="N37" s="36"/>
      <c r="O37" s="36"/>
      <c r="P37" s="36"/>
      <c r="Q37" s="36"/>
      <c r="R37" s="36"/>
      <c r="S37" s="35"/>
      <c r="T37" s="34"/>
      <c r="U37" s="35"/>
      <c r="V37" s="36"/>
      <c r="W37" s="37"/>
      <c r="X37" s="36"/>
      <c r="Y37" s="38"/>
      <c r="Z37" s="39"/>
      <c r="AA37" s="39"/>
      <c r="AB37" s="39"/>
      <c r="AC37" s="39"/>
      <c r="AD37" s="39"/>
      <c r="AE37" s="36"/>
      <c r="AF37" s="40"/>
      <c r="AG37" s="38"/>
      <c r="AH37" s="41"/>
      <c r="AI37" s="41"/>
      <c r="AJ37" s="41"/>
      <c r="AK37" s="41"/>
      <c r="AL37" s="41"/>
      <c r="AM37" s="41"/>
      <c r="AN37" s="41"/>
      <c r="AO37" s="42"/>
      <c r="AP37" s="42"/>
      <c r="AQ37" s="43"/>
      <c r="AR37" s="43"/>
      <c r="AS37" s="768"/>
    </row>
    <row r="38" spans="1:45" s="1" customFormat="1" ht="18.75" customHeight="1" x14ac:dyDescent="0.25">
      <c r="A38" s="44"/>
      <c r="B38" s="29">
        <v>23</v>
      </c>
      <c r="C38" s="30" t="s">
        <v>128</v>
      </c>
      <c r="D38" s="31" t="s">
        <v>129</v>
      </c>
      <c r="E38" s="31"/>
      <c r="F38" s="32">
        <v>60</v>
      </c>
      <c r="G38" s="33" t="s">
        <v>84</v>
      </c>
      <c r="H38" s="34">
        <f>795210250/1000</f>
        <v>795210.25</v>
      </c>
      <c r="I38" s="35"/>
      <c r="J38" s="35"/>
      <c r="K38" s="35"/>
      <c r="L38" s="35"/>
      <c r="M38" s="35"/>
      <c r="N38" s="36"/>
      <c r="O38" s="36"/>
      <c r="P38" s="36"/>
      <c r="Q38" s="36"/>
      <c r="R38" s="36"/>
      <c r="S38" s="35"/>
      <c r="T38" s="34"/>
      <c r="U38" s="35"/>
      <c r="V38" s="36"/>
      <c r="W38" s="37"/>
      <c r="X38" s="36"/>
      <c r="Y38" s="38"/>
      <c r="Z38" s="39"/>
      <c r="AA38" s="39"/>
      <c r="AB38" s="39"/>
      <c r="AC38" s="39"/>
      <c r="AD38" s="39"/>
      <c r="AE38" s="36"/>
      <c r="AF38" s="40"/>
      <c r="AG38" s="38"/>
      <c r="AH38" s="41"/>
      <c r="AI38" s="41"/>
      <c r="AJ38" s="41"/>
      <c r="AK38" s="41"/>
      <c r="AL38" s="41"/>
      <c r="AM38" s="41"/>
      <c r="AN38" s="41"/>
      <c r="AO38" s="42"/>
      <c r="AP38" s="42"/>
      <c r="AQ38" s="43"/>
      <c r="AR38" s="43"/>
      <c r="AS38" s="768"/>
    </row>
    <row r="39" spans="1:45" s="1" customFormat="1" ht="25.5" x14ac:dyDescent="0.25">
      <c r="A39" s="46"/>
      <c r="B39" s="29">
        <v>24</v>
      </c>
      <c r="C39" s="47" t="s">
        <v>130</v>
      </c>
      <c r="D39" s="48" t="s">
        <v>131</v>
      </c>
      <c r="E39" s="48"/>
      <c r="F39" s="49">
        <v>60</v>
      </c>
      <c r="G39" s="50" t="s">
        <v>84</v>
      </c>
      <c r="H39" s="51">
        <f>883544000/1000</f>
        <v>883544</v>
      </c>
      <c r="I39" s="52"/>
      <c r="J39" s="52"/>
      <c r="K39" s="52"/>
      <c r="L39" s="52"/>
      <c r="M39" s="52"/>
      <c r="N39" s="53"/>
      <c r="O39" s="54"/>
      <c r="P39" s="54"/>
      <c r="Q39" s="54"/>
      <c r="R39" s="54"/>
      <c r="S39" s="35"/>
      <c r="T39" s="34"/>
      <c r="U39" s="35"/>
      <c r="V39" s="36"/>
      <c r="W39" s="37"/>
      <c r="X39" s="36"/>
      <c r="Y39" s="38"/>
      <c r="Z39" s="39"/>
      <c r="AA39" s="39"/>
      <c r="AB39" s="39"/>
      <c r="AC39" s="39"/>
      <c r="AD39" s="39"/>
      <c r="AE39" s="36"/>
      <c r="AF39" s="55"/>
      <c r="AG39" s="56"/>
      <c r="AH39" s="57"/>
      <c r="AI39" s="57"/>
      <c r="AJ39" s="57"/>
      <c r="AK39" s="57"/>
      <c r="AL39" s="57"/>
      <c r="AM39" s="57"/>
      <c r="AN39" s="57"/>
      <c r="AO39" s="58"/>
      <c r="AP39" s="58"/>
      <c r="AQ39" s="59"/>
      <c r="AR39" s="59"/>
      <c r="AS39" s="768"/>
    </row>
    <row r="40" spans="1:45" s="1" customFormat="1" ht="12.75" x14ac:dyDescent="0.25">
      <c r="A40" s="46"/>
      <c r="B40" s="29">
        <v>24</v>
      </c>
      <c r="C40" s="47" t="s">
        <v>44</v>
      </c>
      <c r="D40" s="48"/>
      <c r="E40" s="48"/>
      <c r="F40" s="49">
        <v>0</v>
      </c>
      <c r="G40" s="50">
        <v>0</v>
      </c>
      <c r="H40" s="51">
        <v>0</v>
      </c>
      <c r="I40" s="52"/>
      <c r="J40" s="52"/>
      <c r="K40" s="52"/>
      <c r="L40" s="52"/>
      <c r="M40" s="52"/>
      <c r="N40" s="53"/>
      <c r="O40" s="53"/>
      <c r="P40" s="53"/>
      <c r="Q40" s="53"/>
      <c r="R40" s="53"/>
      <c r="S40" s="52"/>
      <c r="T40" s="51"/>
      <c r="U40" s="35"/>
      <c r="V40" s="36"/>
      <c r="W40" s="60"/>
      <c r="X40" s="53"/>
      <c r="Y40" s="38"/>
      <c r="Z40" s="61"/>
      <c r="AA40" s="62"/>
      <c r="AB40" s="62"/>
      <c r="AC40" s="62"/>
      <c r="AD40" s="62"/>
      <c r="AE40" s="36"/>
      <c r="AF40" s="55"/>
      <c r="AG40" s="56"/>
      <c r="AH40" s="57"/>
      <c r="AI40" s="57"/>
      <c r="AJ40" s="57"/>
      <c r="AK40" s="57"/>
      <c r="AL40" s="57"/>
      <c r="AM40" s="57"/>
      <c r="AN40" s="57"/>
      <c r="AO40" s="58"/>
      <c r="AP40" s="58"/>
      <c r="AQ40" s="59"/>
      <c r="AR40" s="59"/>
      <c r="AS40" s="769"/>
    </row>
    <row r="41" spans="1:45" s="1" customFormat="1" ht="12.75" x14ac:dyDescent="0.25">
      <c r="A41" s="755" t="s">
        <v>45</v>
      </c>
      <c r="B41" s="756"/>
      <c r="C41" s="756"/>
      <c r="D41" s="756"/>
      <c r="E41" s="756"/>
      <c r="F41" s="756"/>
      <c r="G41" s="756"/>
      <c r="H41" s="756"/>
      <c r="I41" s="756"/>
      <c r="J41" s="756"/>
      <c r="K41" s="756"/>
      <c r="L41" s="756"/>
      <c r="M41" s="756"/>
      <c r="N41" s="756"/>
      <c r="O41" s="756"/>
      <c r="P41" s="756"/>
      <c r="Q41" s="756"/>
      <c r="R41" s="756"/>
      <c r="S41" s="756"/>
      <c r="T41" s="756"/>
      <c r="U41" s="63">
        <f>U15</f>
        <v>0</v>
      </c>
      <c r="V41" s="64" t="e">
        <f>V15/T15*100</f>
        <v>#DIV/0!</v>
      </c>
      <c r="W41" s="65">
        <f>W15</f>
        <v>0</v>
      </c>
      <c r="X41" s="66" t="e">
        <f>X15/T15*100</f>
        <v>#DIV/0!</v>
      </c>
      <c r="Y41" s="65">
        <f>Y15</f>
        <v>0</v>
      </c>
      <c r="Z41" s="66" t="e">
        <f>Z15/T15*100</f>
        <v>#DIV/0!</v>
      </c>
      <c r="AA41" s="66"/>
      <c r="AB41" s="66"/>
      <c r="AC41" s="66"/>
      <c r="AD41" s="66"/>
      <c r="AE41" s="65">
        <f>AE15</f>
        <v>0</v>
      </c>
      <c r="AF41" s="66" t="e">
        <f>AF15/T15*100</f>
        <v>#DIV/0!</v>
      </c>
      <c r="AG41" s="67">
        <f>(U41+W41+Y41+AE41)</f>
        <v>0</v>
      </c>
      <c r="AH41" s="66" t="e">
        <f>V41+X41+Z41+AF41</f>
        <v>#DIV/0!</v>
      </c>
      <c r="AI41" s="66"/>
      <c r="AJ41" s="66"/>
      <c r="AK41" s="66"/>
      <c r="AL41" s="66"/>
      <c r="AM41" s="66"/>
      <c r="AN41" s="66"/>
      <c r="AO41" s="68"/>
      <c r="AP41" s="68"/>
      <c r="AQ41" s="69">
        <f>SUM(AQ26:AQ40)/24</f>
        <v>0</v>
      </c>
      <c r="AR41" s="69">
        <f>SUM(AR26:AR40)/24</f>
        <v>0</v>
      </c>
      <c r="AS41" s="70"/>
    </row>
    <row r="42" spans="1:45" s="1" customFormat="1" ht="12.75" x14ac:dyDescent="0.25">
      <c r="A42" s="755" t="s">
        <v>46</v>
      </c>
      <c r="B42" s="756"/>
      <c r="C42" s="756"/>
      <c r="D42" s="756"/>
      <c r="E42" s="756"/>
      <c r="F42" s="756"/>
      <c r="G42" s="756"/>
      <c r="H42" s="756"/>
      <c r="I42" s="756"/>
      <c r="J42" s="756"/>
      <c r="K42" s="756"/>
      <c r="L42" s="756"/>
      <c r="M42" s="756"/>
      <c r="N42" s="756"/>
      <c r="O42" s="756"/>
      <c r="P42" s="756"/>
      <c r="Q42" s="756"/>
      <c r="R42" s="756"/>
      <c r="S42" s="756"/>
      <c r="T42" s="756"/>
      <c r="U42" s="71" t="s">
        <v>51</v>
      </c>
      <c r="V42" s="71" t="s">
        <v>51</v>
      </c>
      <c r="W42" s="65" t="s">
        <v>52</v>
      </c>
      <c r="X42" s="71" t="s">
        <v>52</v>
      </c>
      <c r="Y42" s="67" t="s">
        <v>52</v>
      </c>
      <c r="Z42" s="71" t="s">
        <v>47</v>
      </c>
      <c r="AA42" s="71"/>
      <c r="AB42" s="71"/>
      <c r="AC42" s="71"/>
      <c r="AD42" s="71"/>
      <c r="AE42" s="71" t="s">
        <v>52</v>
      </c>
      <c r="AF42" s="72" t="s">
        <v>52</v>
      </c>
      <c r="AG42" s="67" t="s">
        <v>52</v>
      </c>
      <c r="AH42" s="71" t="s">
        <v>52</v>
      </c>
      <c r="AI42" s="71"/>
      <c r="AJ42" s="71"/>
      <c r="AK42" s="71"/>
      <c r="AL42" s="71"/>
      <c r="AM42" s="71"/>
      <c r="AN42" s="71"/>
      <c r="AO42" s="71"/>
      <c r="AP42" s="68"/>
      <c r="AQ42" s="68"/>
      <c r="AR42" s="68"/>
      <c r="AS42" s="70"/>
    </row>
    <row r="43" spans="1:45" s="1" customFormat="1" ht="40.5" customHeight="1" x14ac:dyDescent="0.25">
      <c r="A43" s="18">
        <v>2</v>
      </c>
      <c r="B43" s="19" t="s">
        <v>80</v>
      </c>
      <c r="C43" s="20" t="s">
        <v>132</v>
      </c>
      <c r="D43" s="5" t="s">
        <v>7</v>
      </c>
      <c r="E43" s="5"/>
      <c r="F43" s="73">
        <f>(SUM(F44:F49)/SUM(F44:F49))*100</f>
        <v>100</v>
      </c>
      <c r="G43" s="74" t="s">
        <v>50</v>
      </c>
      <c r="H43" s="75">
        <f>SUM(H44:H49)</f>
        <v>5833070</v>
      </c>
      <c r="I43" s="76"/>
      <c r="J43" s="76"/>
      <c r="K43" s="76"/>
      <c r="L43" s="76"/>
      <c r="M43" s="76"/>
      <c r="N43" s="77"/>
      <c r="O43" s="77"/>
      <c r="P43" s="77"/>
      <c r="Q43" s="77"/>
      <c r="R43" s="77"/>
      <c r="S43" s="78"/>
      <c r="T43" s="77"/>
      <c r="U43" s="76"/>
      <c r="V43" s="77"/>
      <c r="W43" s="79"/>
      <c r="X43" s="77"/>
      <c r="Y43" s="78"/>
      <c r="Z43" s="80"/>
      <c r="AA43" s="80"/>
      <c r="AB43" s="80"/>
      <c r="AC43" s="80"/>
      <c r="AD43" s="80"/>
      <c r="AE43" s="76"/>
      <c r="AF43" s="81"/>
      <c r="AG43" s="82"/>
      <c r="AH43" s="77"/>
      <c r="AI43" s="77"/>
      <c r="AJ43" s="77"/>
      <c r="AK43" s="77"/>
      <c r="AL43" s="77"/>
      <c r="AM43" s="77"/>
      <c r="AN43" s="77"/>
      <c r="AO43" s="83"/>
      <c r="AP43" s="83"/>
      <c r="AQ43" s="84"/>
      <c r="AR43" s="84"/>
      <c r="AS43" s="85"/>
    </row>
    <row r="44" spans="1:45" s="1" customFormat="1" ht="25.5" x14ac:dyDescent="0.25">
      <c r="A44" s="44"/>
      <c r="B44" s="29">
        <v>1</v>
      </c>
      <c r="C44" s="30" t="s">
        <v>133</v>
      </c>
      <c r="D44" s="86" t="s">
        <v>134</v>
      </c>
      <c r="E44" s="86"/>
      <c r="F44" s="32">
        <f>1000000000/30000000</f>
        <v>33.333333333333336</v>
      </c>
      <c r="G44" s="33" t="s">
        <v>135</v>
      </c>
      <c r="H44" s="36">
        <f>1000000000/1000</f>
        <v>1000000</v>
      </c>
      <c r="I44" s="35"/>
      <c r="J44" s="35"/>
      <c r="K44" s="35"/>
      <c r="L44" s="35"/>
      <c r="M44" s="35"/>
      <c r="N44" s="36"/>
      <c r="O44" s="36"/>
      <c r="P44" s="36"/>
      <c r="Q44" s="36"/>
      <c r="R44" s="36"/>
      <c r="S44" s="35"/>
      <c r="T44" s="87"/>
      <c r="U44" s="88"/>
      <c r="V44" s="36"/>
      <c r="W44" s="37"/>
      <c r="X44" s="36"/>
      <c r="Y44" s="38"/>
      <c r="Z44" s="39"/>
      <c r="AA44" s="39"/>
      <c r="AB44" s="39"/>
      <c r="AC44" s="39"/>
      <c r="AD44" s="39"/>
      <c r="AE44" s="36"/>
      <c r="AF44" s="40"/>
      <c r="AG44" s="38"/>
      <c r="AH44" s="41"/>
      <c r="AI44" s="41"/>
      <c r="AJ44" s="41"/>
      <c r="AK44" s="41"/>
      <c r="AL44" s="41"/>
      <c r="AM44" s="41"/>
      <c r="AN44" s="41"/>
      <c r="AO44" s="42"/>
      <c r="AP44" s="42"/>
      <c r="AQ44" s="43"/>
      <c r="AR44" s="43"/>
      <c r="AS44" s="767"/>
    </row>
    <row r="45" spans="1:45" s="1" customFormat="1" ht="12.75" x14ac:dyDescent="0.25">
      <c r="A45" s="44"/>
      <c r="B45" s="29">
        <v>2</v>
      </c>
      <c r="C45" s="30" t="s">
        <v>136</v>
      </c>
      <c r="D45" s="86" t="s">
        <v>137</v>
      </c>
      <c r="E45" s="86"/>
      <c r="F45" s="32">
        <v>60</v>
      </c>
      <c r="G45" s="33" t="s">
        <v>84</v>
      </c>
      <c r="H45" s="36">
        <f>440500000/1000</f>
        <v>440500</v>
      </c>
      <c r="I45" s="35"/>
      <c r="J45" s="35"/>
      <c r="K45" s="35"/>
      <c r="L45" s="35"/>
      <c r="M45" s="35"/>
      <c r="N45" s="36"/>
      <c r="O45" s="36"/>
      <c r="P45" s="36"/>
      <c r="Q45" s="36"/>
      <c r="R45" s="36"/>
      <c r="S45" s="35"/>
      <c r="T45" s="87"/>
      <c r="U45" s="35"/>
      <c r="V45" s="36"/>
      <c r="W45" s="89"/>
      <c r="X45" s="36"/>
      <c r="Y45" s="38"/>
      <c r="Z45" s="39"/>
      <c r="AA45" s="39"/>
      <c r="AB45" s="39"/>
      <c r="AC45" s="39"/>
      <c r="AD45" s="39"/>
      <c r="AE45" s="36"/>
      <c r="AF45" s="40"/>
      <c r="AG45" s="38"/>
      <c r="AH45" s="41"/>
      <c r="AI45" s="41"/>
      <c r="AJ45" s="41"/>
      <c r="AK45" s="41"/>
      <c r="AL45" s="41"/>
      <c r="AM45" s="41"/>
      <c r="AN45" s="41"/>
      <c r="AO45" s="42"/>
      <c r="AP45" s="42"/>
      <c r="AQ45" s="43"/>
      <c r="AR45" s="43"/>
      <c r="AS45" s="768"/>
    </row>
    <row r="46" spans="1:45" s="1" customFormat="1" ht="25.5" x14ac:dyDescent="0.25">
      <c r="A46" s="44"/>
      <c r="B46" s="29">
        <v>3</v>
      </c>
      <c r="C46" s="30" t="s">
        <v>138</v>
      </c>
      <c r="D46" s="86" t="s">
        <v>139</v>
      </c>
      <c r="E46" s="86"/>
      <c r="F46" s="32">
        <v>60</v>
      </c>
      <c r="G46" s="33" t="s">
        <v>84</v>
      </c>
      <c r="H46" s="36">
        <f>1407570000/1000</f>
        <v>1407570</v>
      </c>
      <c r="I46" s="35"/>
      <c r="J46" s="35"/>
      <c r="K46" s="35"/>
      <c r="L46" s="35"/>
      <c r="M46" s="35"/>
      <c r="N46" s="36"/>
      <c r="O46" s="36"/>
      <c r="P46" s="36"/>
      <c r="Q46" s="36"/>
      <c r="R46" s="36"/>
      <c r="S46" s="35"/>
      <c r="T46" s="87"/>
      <c r="U46" s="35"/>
      <c r="V46" s="36"/>
      <c r="W46" s="89"/>
      <c r="X46" s="36"/>
      <c r="Y46" s="38"/>
      <c r="Z46" s="39"/>
      <c r="AA46" s="39"/>
      <c r="AB46" s="39"/>
      <c r="AC46" s="39"/>
      <c r="AD46" s="39"/>
      <c r="AE46" s="36"/>
      <c r="AF46" s="40"/>
      <c r="AG46" s="38"/>
      <c r="AH46" s="41"/>
      <c r="AI46" s="41"/>
      <c r="AJ46" s="41"/>
      <c r="AK46" s="41"/>
      <c r="AL46" s="41"/>
      <c r="AM46" s="41"/>
      <c r="AN46" s="41"/>
      <c r="AO46" s="42"/>
      <c r="AP46" s="42"/>
      <c r="AQ46" s="43"/>
      <c r="AR46" s="43"/>
      <c r="AS46" s="768"/>
    </row>
    <row r="47" spans="1:45" s="1" customFormat="1" ht="25.5" x14ac:dyDescent="0.25">
      <c r="A47" s="44"/>
      <c r="B47" s="29">
        <v>4</v>
      </c>
      <c r="C47" s="30" t="s">
        <v>140</v>
      </c>
      <c r="D47" s="86" t="s">
        <v>141</v>
      </c>
      <c r="E47" s="86"/>
      <c r="F47" s="32">
        <v>60</v>
      </c>
      <c r="G47" s="33" t="s">
        <v>84</v>
      </c>
      <c r="H47" s="36">
        <f>45000000/1000</f>
        <v>45000</v>
      </c>
      <c r="I47" s="35"/>
      <c r="J47" s="35"/>
      <c r="K47" s="35"/>
      <c r="L47" s="35"/>
      <c r="M47" s="35"/>
      <c r="N47" s="36"/>
      <c r="O47" s="36"/>
      <c r="P47" s="36"/>
      <c r="Q47" s="36"/>
      <c r="R47" s="36"/>
      <c r="S47" s="35"/>
      <c r="T47" s="87"/>
      <c r="U47" s="35"/>
      <c r="V47" s="36"/>
      <c r="W47" s="37"/>
      <c r="X47" s="36"/>
      <c r="Y47" s="38"/>
      <c r="Z47" s="39"/>
      <c r="AA47" s="39"/>
      <c r="AB47" s="39"/>
      <c r="AC47" s="39"/>
      <c r="AD47" s="39"/>
      <c r="AE47" s="36"/>
      <c r="AF47" s="40"/>
      <c r="AG47" s="38"/>
      <c r="AH47" s="41"/>
      <c r="AI47" s="41"/>
      <c r="AJ47" s="41"/>
      <c r="AK47" s="41"/>
      <c r="AL47" s="41"/>
      <c r="AM47" s="41"/>
      <c r="AN47" s="41"/>
      <c r="AO47" s="42"/>
      <c r="AP47" s="42"/>
      <c r="AQ47" s="43"/>
      <c r="AR47" s="43"/>
      <c r="AS47" s="768"/>
    </row>
    <row r="48" spans="1:45" s="1" customFormat="1" ht="12.75" x14ac:dyDescent="0.25">
      <c r="A48" s="44"/>
      <c r="B48" s="29">
        <v>5</v>
      </c>
      <c r="C48" s="30" t="s">
        <v>142</v>
      </c>
      <c r="D48" s="86" t="s">
        <v>143</v>
      </c>
      <c r="E48" s="86"/>
      <c r="F48" s="32">
        <v>12</v>
      </c>
      <c r="G48" s="33" t="s">
        <v>101</v>
      </c>
      <c r="H48" s="36">
        <f>690000000/1000</f>
        <v>690000</v>
      </c>
      <c r="I48" s="35"/>
      <c r="J48" s="35"/>
      <c r="K48" s="35"/>
      <c r="L48" s="35"/>
      <c r="M48" s="35"/>
      <c r="N48" s="36"/>
      <c r="O48" s="36"/>
      <c r="P48" s="36"/>
      <c r="Q48" s="36"/>
      <c r="R48" s="36"/>
      <c r="S48" s="35"/>
      <c r="T48" s="87"/>
      <c r="U48" s="35"/>
      <c r="V48" s="36"/>
      <c r="W48" s="89"/>
      <c r="X48" s="36"/>
      <c r="Y48" s="38"/>
      <c r="Z48" s="39"/>
      <c r="AA48" s="39"/>
      <c r="AB48" s="39"/>
      <c r="AC48" s="39"/>
      <c r="AD48" s="39"/>
      <c r="AE48" s="36"/>
      <c r="AF48" s="40"/>
      <c r="AG48" s="38"/>
      <c r="AH48" s="41"/>
      <c r="AI48" s="41"/>
      <c r="AJ48" s="41"/>
      <c r="AK48" s="41"/>
      <c r="AL48" s="41"/>
      <c r="AM48" s="41"/>
      <c r="AN48" s="41"/>
      <c r="AO48" s="42"/>
      <c r="AP48" s="42"/>
      <c r="AQ48" s="43"/>
      <c r="AR48" s="43"/>
      <c r="AS48" s="768"/>
    </row>
    <row r="49" spans="1:45" s="1" customFormat="1" ht="26.45" customHeight="1" x14ac:dyDescent="0.25">
      <c r="A49" s="46"/>
      <c r="B49" s="29">
        <v>6</v>
      </c>
      <c r="C49" s="47" t="s">
        <v>144</v>
      </c>
      <c r="D49" s="90" t="s">
        <v>145</v>
      </c>
      <c r="E49" s="90"/>
      <c r="F49" s="49">
        <v>6</v>
      </c>
      <c r="G49" s="50" t="s">
        <v>146</v>
      </c>
      <c r="H49" s="53">
        <f>2250000000/1000</f>
        <v>2250000</v>
      </c>
      <c r="I49" s="35"/>
      <c r="J49" s="91"/>
      <c r="K49" s="91"/>
      <c r="L49" s="91"/>
      <c r="M49" s="91"/>
      <c r="N49" s="53"/>
      <c r="O49" s="54"/>
      <c r="P49" s="54"/>
      <c r="Q49" s="54"/>
      <c r="R49" s="54"/>
      <c r="S49" s="35"/>
      <c r="T49" s="92"/>
      <c r="U49" s="93"/>
      <c r="V49" s="53"/>
      <c r="W49" s="60"/>
      <c r="X49" s="53"/>
      <c r="Y49" s="38"/>
      <c r="Z49" s="61"/>
      <c r="AA49" s="61"/>
      <c r="AB49" s="61"/>
      <c r="AC49" s="61"/>
      <c r="AD49" s="61"/>
      <c r="AE49" s="53"/>
      <c r="AF49" s="55"/>
      <c r="AG49" s="56"/>
      <c r="AH49" s="41"/>
      <c r="AI49" s="94"/>
      <c r="AJ49" s="94"/>
      <c r="AK49" s="94"/>
      <c r="AL49" s="94"/>
      <c r="AM49" s="94"/>
      <c r="AN49" s="94"/>
      <c r="AO49" s="58"/>
      <c r="AP49" s="42"/>
      <c r="AQ49" s="59"/>
      <c r="AR49" s="59"/>
      <c r="AS49" s="769"/>
    </row>
    <row r="50" spans="1:45" s="1" customFormat="1" ht="12.75" x14ac:dyDescent="0.25">
      <c r="A50" s="755" t="s">
        <v>45</v>
      </c>
      <c r="B50" s="756"/>
      <c r="C50" s="756"/>
      <c r="D50" s="756"/>
      <c r="E50" s="756"/>
      <c r="F50" s="756"/>
      <c r="G50" s="756"/>
      <c r="H50" s="756"/>
      <c r="I50" s="756"/>
      <c r="J50" s="756"/>
      <c r="K50" s="756"/>
      <c r="L50" s="756"/>
      <c r="M50" s="756"/>
      <c r="N50" s="756"/>
      <c r="O50" s="756"/>
      <c r="P50" s="756"/>
      <c r="Q50" s="756"/>
      <c r="R50" s="756"/>
      <c r="S50" s="756"/>
      <c r="T50" s="756"/>
      <c r="U50" s="63">
        <f>U43</f>
        <v>0</v>
      </c>
      <c r="V50" s="63" t="e">
        <f>V43/T43*100</f>
        <v>#DIV/0!</v>
      </c>
      <c r="W50" s="95">
        <f>W43</f>
        <v>0</v>
      </c>
      <c r="X50" s="63" t="e">
        <f>X43/T43*100</f>
        <v>#DIV/0!</v>
      </c>
      <c r="Y50" s="95">
        <f>Y43</f>
        <v>0</v>
      </c>
      <c r="Z50" s="63" t="e">
        <f>Z43/T43*100</f>
        <v>#DIV/0!</v>
      </c>
      <c r="AA50" s="63"/>
      <c r="AB50" s="63"/>
      <c r="AC50" s="63"/>
      <c r="AD50" s="63"/>
      <c r="AE50" s="95">
        <f>AE43</f>
        <v>0</v>
      </c>
      <c r="AF50" s="63" t="e">
        <f>AF43/T43*100</f>
        <v>#DIV/0!</v>
      </c>
      <c r="AG50" s="96">
        <f>(U50+W50+Y50+AE50)</f>
        <v>0</v>
      </c>
      <c r="AH50" s="63" t="e">
        <f t="shared" ref="AH50" si="0">V50+X50+Z50+AF50</f>
        <v>#DIV/0!</v>
      </c>
      <c r="AI50" s="63"/>
      <c r="AJ50" s="63"/>
      <c r="AK50" s="63"/>
      <c r="AL50" s="63"/>
      <c r="AM50" s="63"/>
      <c r="AN50" s="63"/>
      <c r="AO50" s="68"/>
      <c r="AP50" s="68"/>
      <c r="AQ50" s="69">
        <f>SUM(AQ44:AQ49)/5</f>
        <v>0</v>
      </c>
      <c r="AR50" s="69">
        <f>SUM(AR44:AR49)/5</f>
        <v>0</v>
      </c>
      <c r="AS50" s="70"/>
    </row>
    <row r="51" spans="1:45" s="1" customFormat="1" ht="12.75" x14ac:dyDescent="0.25">
      <c r="A51" s="755" t="s">
        <v>46</v>
      </c>
      <c r="B51" s="756"/>
      <c r="C51" s="756"/>
      <c r="D51" s="756"/>
      <c r="E51" s="756"/>
      <c r="F51" s="756"/>
      <c r="G51" s="756"/>
      <c r="H51" s="756"/>
      <c r="I51" s="756"/>
      <c r="J51" s="756"/>
      <c r="K51" s="756"/>
      <c r="L51" s="756"/>
      <c r="M51" s="756"/>
      <c r="N51" s="756"/>
      <c r="O51" s="756"/>
      <c r="P51" s="756"/>
      <c r="Q51" s="756"/>
      <c r="R51" s="756"/>
      <c r="S51" s="756"/>
      <c r="T51" s="756"/>
      <c r="U51" s="71"/>
      <c r="V51" s="71"/>
      <c r="W51" s="65" t="s">
        <v>52</v>
      </c>
      <c r="X51" s="71" t="s">
        <v>52</v>
      </c>
      <c r="Y51" s="67"/>
      <c r="Z51" s="71"/>
      <c r="AA51" s="71"/>
      <c r="AB51" s="71"/>
      <c r="AC51" s="71"/>
      <c r="AD51" s="71"/>
      <c r="AE51" s="71"/>
      <c r="AF51" s="71" t="s">
        <v>52</v>
      </c>
      <c r="AG51" s="71" t="s">
        <v>52</v>
      </c>
      <c r="AH51" s="71" t="s">
        <v>48</v>
      </c>
      <c r="AI51" s="71"/>
      <c r="AJ51" s="71"/>
      <c r="AK51" s="71"/>
      <c r="AL51" s="71"/>
      <c r="AM51" s="71"/>
      <c r="AN51" s="71"/>
      <c r="AO51" s="71"/>
      <c r="AP51" s="68"/>
      <c r="AQ51" s="68"/>
      <c r="AR51" s="68"/>
      <c r="AS51" s="70"/>
    </row>
    <row r="52" spans="1:45" s="1" customFormat="1" ht="25.5" x14ac:dyDescent="0.25">
      <c r="A52" s="18">
        <v>3</v>
      </c>
      <c r="B52" s="19" t="s">
        <v>80</v>
      </c>
      <c r="C52" s="20" t="s">
        <v>147</v>
      </c>
      <c r="D52" s="97" t="s">
        <v>7</v>
      </c>
      <c r="E52" s="97"/>
      <c r="F52" s="24">
        <f>(F53)/(F53)*100</f>
        <v>100</v>
      </c>
      <c r="G52" s="98" t="s">
        <v>50</v>
      </c>
      <c r="H52" s="23">
        <f>SUM(H53:H53)</f>
        <v>536770.56599999999</v>
      </c>
      <c r="I52" s="21"/>
      <c r="J52" s="21"/>
      <c r="K52" s="21"/>
      <c r="L52" s="21"/>
      <c r="M52" s="21"/>
      <c r="N52" s="23"/>
      <c r="O52" s="23"/>
      <c r="P52" s="23"/>
      <c r="Q52" s="23"/>
      <c r="R52" s="23"/>
      <c r="S52" s="23"/>
      <c r="T52" s="23"/>
      <c r="U52" s="24"/>
      <c r="V52" s="23"/>
      <c r="W52" s="25"/>
      <c r="X52" s="23"/>
      <c r="Y52" s="25"/>
      <c r="Z52" s="26"/>
      <c r="AA52" s="26"/>
      <c r="AB52" s="26"/>
      <c r="AC52" s="26"/>
      <c r="AD52" s="26"/>
      <c r="AE52" s="24"/>
      <c r="AF52" s="23"/>
      <c r="AG52" s="25"/>
      <c r="AH52" s="23"/>
      <c r="AI52" s="23"/>
      <c r="AJ52" s="23"/>
      <c r="AK52" s="23"/>
      <c r="AL52" s="23"/>
      <c r="AM52" s="23"/>
      <c r="AN52" s="23"/>
      <c r="AO52" s="99"/>
      <c r="AP52" s="99"/>
      <c r="AQ52" s="100"/>
      <c r="AR52" s="100"/>
      <c r="AS52" s="101"/>
    </row>
    <row r="53" spans="1:45" s="1" customFormat="1" ht="25.5" x14ac:dyDescent="0.25">
      <c r="A53" s="46"/>
      <c r="B53" s="102">
        <v>1</v>
      </c>
      <c r="C53" s="47" t="s">
        <v>148</v>
      </c>
      <c r="D53" s="90" t="s">
        <v>149</v>
      </c>
      <c r="E53" s="90"/>
      <c r="F53" s="103">
        <v>826</v>
      </c>
      <c r="G53" s="50" t="s">
        <v>150</v>
      </c>
      <c r="H53" s="51">
        <f>536770566/1000</f>
        <v>536770.56599999999</v>
      </c>
      <c r="I53" s="52"/>
      <c r="J53" s="52"/>
      <c r="K53" s="52"/>
      <c r="L53" s="52"/>
      <c r="M53" s="52"/>
      <c r="N53" s="53"/>
      <c r="O53" s="53"/>
      <c r="P53" s="53"/>
      <c r="Q53" s="53"/>
      <c r="R53" s="53"/>
      <c r="S53" s="104"/>
      <c r="T53" s="53"/>
      <c r="U53" s="93"/>
      <c r="V53" s="53"/>
      <c r="W53" s="105"/>
      <c r="X53" s="53"/>
      <c r="Y53" s="56"/>
      <c r="Z53" s="61"/>
      <c r="AA53" s="61"/>
      <c r="AB53" s="61"/>
      <c r="AC53" s="61"/>
      <c r="AD53" s="61"/>
      <c r="AE53" s="53"/>
      <c r="AF53" s="106"/>
      <c r="AG53" s="59"/>
      <c r="AH53" s="57"/>
      <c r="AI53" s="57"/>
      <c r="AJ53" s="57"/>
      <c r="AK53" s="57"/>
      <c r="AL53" s="57"/>
      <c r="AM53" s="57"/>
      <c r="AN53" s="57"/>
      <c r="AO53" s="58"/>
      <c r="AP53" s="58"/>
      <c r="AQ53" s="59"/>
      <c r="AR53" s="59"/>
      <c r="AS53" s="107"/>
    </row>
    <row r="54" spans="1:45" s="1" customFormat="1" ht="12.75" x14ac:dyDescent="0.25">
      <c r="A54" s="755" t="s">
        <v>45</v>
      </c>
      <c r="B54" s="756"/>
      <c r="C54" s="756"/>
      <c r="D54" s="756"/>
      <c r="E54" s="756"/>
      <c r="F54" s="756"/>
      <c r="G54" s="756"/>
      <c r="H54" s="756"/>
      <c r="I54" s="756"/>
      <c r="J54" s="756"/>
      <c r="K54" s="756"/>
      <c r="L54" s="756"/>
      <c r="M54" s="756"/>
      <c r="N54" s="756"/>
      <c r="O54" s="756"/>
      <c r="P54" s="756"/>
      <c r="Q54" s="756"/>
      <c r="R54" s="756"/>
      <c r="S54" s="756"/>
      <c r="T54" s="756"/>
      <c r="U54" s="63">
        <f>U52</f>
        <v>0</v>
      </c>
      <c r="V54" s="64" t="e">
        <f>V52/T52*100</f>
        <v>#DIV/0!</v>
      </c>
      <c r="W54" s="65">
        <f>W52</f>
        <v>0</v>
      </c>
      <c r="X54" s="64" t="e">
        <f>X52/T52*100</f>
        <v>#DIV/0!</v>
      </c>
      <c r="Y54" s="67">
        <f>Y52</f>
        <v>0</v>
      </c>
      <c r="Z54" s="64" t="e">
        <f>Z52/T52*100</f>
        <v>#DIV/0!</v>
      </c>
      <c r="AA54" s="64"/>
      <c r="AB54" s="64"/>
      <c r="AC54" s="64"/>
      <c r="AD54" s="64"/>
      <c r="AE54" s="63">
        <f>AE52</f>
        <v>0</v>
      </c>
      <c r="AF54" s="108" t="e">
        <f>AF52/T52*100</f>
        <v>#DIV/0!</v>
      </c>
      <c r="AG54" s="67">
        <f>(U54+W54+Y54+AE54)</f>
        <v>0</v>
      </c>
      <c r="AH54" s="64" t="e">
        <f>V54+X54+Z54+AF54</f>
        <v>#DIV/0!</v>
      </c>
      <c r="AI54" s="64"/>
      <c r="AJ54" s="64"/>
      <c r="AK54" s="64"/>
      <c r="AL54" s="64"/>
      <c r="AM54" s="64"/>
      <c r="AN54" s="64"/>
      <c r="AO54" s="68"/>
      <c r="AP54" s="68"/>
      <c r="AQ54" s="69">
        <f>SUM(AQ53:AQ53)/1</f>
        <v>0</v>
      </c>
      <c r="AR54" s="69">
        <f>SUM(AR53:AR53)/1</f>
        <v>0</v>
      </c>
      <c r="AS54" s="70"/>
    </row>
    <row r="55" spans="1:45" s="1" customFormat="1" ht="12.75" x14ac:dyDescent="0.25">
      <c r="A55" s="755" t="s">
        <v>46</v>
      </c>
      <c r="B55" s="756"/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1" t="s">
        <v>52</v>
      </c>
      <c r="V55" s="71" t="s">
        <v>51</v>
      </c>
      <c r="W55" s="65" t="s">
        <v>52</v>
      </c>
      <c r="X55" s="71" t="s">
        <v>52</v>
      </c>
      <c r="Y55" s="67"/>
      <c r="Z55" s="71"/>
      <c r="AA55" s="71"/>
      <c r="AB55" s="71"/>
      <c r="AC55" s="71"/>
      <c r="AD55" s="71"/>
      <c r="AE55" s="71"/>
      <c r="AF55" s="72"/>
      <c r="AG55" s="67" t="s">
        <v>52</v>
      </c>
      <c r="AH55" s="71" t="s">
        <v>52</v>
      </c>
      <c r="AI55" s="71"/>
      <c r="AJ55" s="71"/>
      <c r="AK55" s="71"/>
      <c r="AL55" s="71"/>
      <c r="AM55" s="71"/>
      <c r="AN55" s="71"/>
      <c r="AO55" s="71"/>
      <c r="AP55" s="68"/>
      <c r="AQ55" s="68"/>
      <c r="AR55" s="68"/>
      <c r="AS55" s="70"/>
    </row>
    <row r="56" spans="1:45" s="1" customFormat="1" ht="28.5" customHeight="1" x14ac:dyDescent="0.25">
      <c r="A56" s="18">
        <v>4</v>
      </c>
      <c r="B56" s="19" t="s">
        <v>80</v>
      </c>
      <c r="C56" s="20" t="s">
        <v>151</v>
      </c>
      <c r="D56" s="5" t="s">
        <v>8</v>
      </c>
      <c r="E56" s="5"/>
      <c r="F56" s="24">
        <f>(F57+F58)/(F57+F58)*100</f>
        <v>100</v>
      </c>
      <c r="G56" s="98" t="s">
        <v>50</v>
      </c>
      <c r="H56" s="23">
        <f>SUM(H57:H58)</f>
        <v>1575000</v>
      </c>
      <c r="I56" s="21"/>
      <c r="J56" s="21"/>
      <c r="K56" s="21"/>
      <c r="L56" s="21"/>
      <c r="M56" s="21"/>
      <c r="N56" s="23"/>
      <c r="O56" s="23"/>
      <c r="P56" s="23"/>
      <c r="Q56" s="23"/>
      <c r="R56" s="23"/>
      <c r="S56" s="23"/>
      <c r="T56" s="23"/>
      <c r="U56" s="21"/>
      <c r="V56" s="23"/>
      <c r="W56" s="25"/>
      <c r="X56" s="23"/>
      <c r="Y56" s="25"/>
      <c r="Z56" s="26"/>
      <c r="AA56" s="26"/>
      <c r="AB56" s="26"/>
      <c r="AC56" s="26"/>
      <c r="AD56" s="26"/>
      <c r="AE56" s="24"/>
      <c r="AF56" s="23"/>
      <c r="AG56" s="25"/>
      <c r="AH56" s="23"/>
      <c r="AI56" s="23"/>
      <c r="AJ56" s="23"/>
      <c r="AK56" s="23"/>
      <c r="AL56" s="23"/>
      <c r="AM56" s="23"/>
      <c r="AN56" s="23"/>
      <c r="AO56" s="99"/>
      <c r="AP56" s="99"/>
      <c r="AQ56" s="100"/>
      <c r="AR56" s="100"/>
      <c r="AS56" s="101"/>
    </row>
    <row r="57" spans="1:45" s="1" customFormat="1" ht="12.75" x14ac:dyDescent="0.25">
      <c r="A57" s="44"/>
      <c r="B57" s="29">
        <v>1</v>
      </c>
      <c r="C57" s="30" t="s">
        <v>152</v>
      </c>
      <c r="D57" s="109" t="s">
        <v>153</v>
      </c>
      <c r="E57" s="109"/>
      <c r="F57" s="32">
        <v>25</v>
      </c>
      <c r="G57" s="33" t="s">
        <v>154</v>
      </c>
      <c r="H57" s="36">
        <f>165000000/1000</f>
        <v>165000</v>
      </c>
      <c r="I57" s="35"/>
      <c r="J57" s="35"/>
      <c r="K57" s="35"/>
      <c r="L57" s="35"/>
      <c r="M57" s="35"/>
      <c r="N57" s="36"/>
      <c r="O57" s="36"/>
      <c r="P57" s="36"/>
      <c r="Q57" s="36"/>
      <c r="R57" s="36"/>
      <c r="S57" s="110"/>
      <c r="T57" s="34"/>
      <c r="U57" s="88"/>
      <c r="V57" s="36"/>
      <c r="W57" s="37"/>
      <c r="X57" s="36"/>
      <c r="Y57" s="38"/>
      <c r="Z57" s="39"/>
      <c r="AA57" s="39"/>
      <c r="AB57" s="39"/>
      <c r="AC57" s="39"/>
      <c r="AD57" s="39"/>
      <c r="AE57" s="36"/>
      <c r="AF57" s="111"/>
      <c r="AG57" s="43"/>
      <c r="AH57" s="41"/>
      <c r="AI57" s="41"/>
      <c r="AJ57" s="41"/>
      <c r="AK57" s="41"/>
      <c r="AL57" s="41"/>
      <c r="AM57" s="41"/>
      <c r="AN57" s="41"/>
      <c r="AO57" s="42"/>
      <c r="AP57" s="42"/>
      <c r="AQ57" s="43"/>
      <c r="AR57" s="43"/>
      <c r="AS57" s="767"/>
    </row>
    <row r="58" spans="1:45" s="1" customFormat="1" ht="12.75" x14ac:dyDescent="0.25">
      <c r="A58" s="46"/>
      <c r="B58" s="102">
        <v>2</v>
      </c>
      <c r="C58" s="47" t="s">
        <v>155</v>
      </c>
      <c r="D58" s="112" t="s">
        <v>156</v>
      </c>
      <c r="E58" s="112"/>
      <c r="F58" s="49">
        <v>10</v>
      </c>
      <c r="G58" s="50" t="s">
        <v>157</v>
      </c>
      <c r="H58" s="53">
        <f>1410000000/1000</f>
        <v>1410000</v>
      </c>
      <c r="I58" s="52"/>
      <c r="J58" s="52"/>
      <c r="K58" s="52"/>
      <c r="L58" s="52"/>
      <c r="M58" s="52"/>
      <c r="N58" s="53"/>
      <c r="O58" s="53"/>
      <c r="P58" s="53"/>
      <c r="Q58" s="53"/>
      <c r="R58" s="53"/>
      <c r="S58" s="104"/>
      <c r="T58" s="51"/>
      <c r="U58" s="52"/>
      <c r="V58" s="53"/>
      <c r="W58" s="105"/>
      <c r="X58" s="53"/>
      <c r="Y58" s="56"/>
      <c r="Z58" s="61"/>
      <c r="AA58" s="61"/>
      <c r="AB58" s="61"/>
      <c r="AC58" s="61"/>
      <c r="AD58" s="61"/>
      <c r="AE58" s="53"/>
      <c r="AF58" s="111"/>
      <c r="AG58" s="59"/>
      <c r="AH58" s="57"/>
      <c r="AI58" s="57"/>
      <c r="AJ58" s="57"/>
      <c r="AK58" s="57"/>
      <c r="AL58" s="57"/>
      <c r="AM58" s="57"/>
      <c r="AN58" s="57"/>
      <c r="AO58" s="58"/>
      <c r="AP58" s="58"/>
      <c r="AQ58" s="59"/>
      <c r="AR58" s="59"/>
      <c r="AS58" s="769"/>
    </row>
    <row r="59" spans="1:45" s="1" customFormat="1" ht="12.75" x14ac:dyDescent="0.25">
      <c r="A59" s="755" t="s">
        <v>45</v>
      </c>
      <c r="B59" s="756"/>
      <c r="C59" s="756"/>
      <c r="D59" s="756"/>
      <c r="E59" s="756"/>
      <c r="F59" s="756"/>
      <c r="G59" s="756"/>
      <c r="H59" s="756"/>
      <c r="I59" s="756"/>
      <c r="J59" s="756"/>
      <c r="K59" s="756"/>
      <c r="L59" s="756"/>
      <c r="M59" s="756"/>
      <c r="N59" s="756"/>
      <c r="O59" s="756"/>
      <c r="P59" s="756"/>
      <c r="Q59" s="756"/>
      <c r="R59" s="756"/>
      <c r="S59" s="756"/>
      <c r="T59" s="756"/>
      <c r="U59" s="63">
        <f>U56</f>
        <v>0</v>
      </c>
      <c r="V59" s="64" t="e">
        <f>V56/T56*100</f>
        <v>#DIV/0!</v>
      </c>
      <c r="W59" s="65">
        <f>W56</f>
        <v>0</v>
      </c>
      <c r="X59" s="66" t="e">
        <f>X56/T56*100</f>
        <v>#DIV/0!</v>
      </c>
      <c r="Y59" s="65">
        <f>Y56</f>
        <v>0</v>
      </c>
      <c r="Z59" s="66" t="e">
        <f>Z56/T56*100</f>
        <v>#DIV/0!</v>
      </c>
      <c r="AA59" s="66"/>
      <c r="AB59" s="66"/>
      <c r="AC59" s="66"/>
      <c r="AD59" s="66"/>
      <c r="AE59" s="65">
        <f>AE56</f>
        <v>0</v>
      </c>
      <c r="AF59" s="66" t="e">
        <f>AF56/T56*100</f>
        <v>#DIV/0!</v>
      </c>
      <c r="AG59" s="67">
        <f>(U59+W59+Y59+AE59)</f>
        <v>0</v>
      </c>
      <c r="AH59" s="66" t="e">
        <f>V59+X59+Z59+AF59</f>
        <v>#DIV/0!</v>
      </c>
      <c r="AI59" s="113"/>
      <c r="AJ59" s="113"/>
      <c r="AK59" s="113"/>
      <c r="AL59" s="113"/>
      <c r="AM59" s="113"/>
      <c r="AN59" s="113"/>
      <c r="AO59" s="114"/>
      <c r="AP59" s="114"/>
      <c r="AQ59" s="115">
        <f>SUM(AQ57:AQ58)/2</f>
        <v>0</v>
      </c>
      <c r="AR59" s="115">
        <f>SUM(AR57:AR58)/2</f>
        <v>0</v>
      </c>
      <c r="AS59" s="70"/>
    </row>
    <row r="60" spans="1:45" s="1" customFormat="1" ht="12.75" x14ac:dyDescent="0.25">
      <c r="A60" s="755" t="s">
        <v>46</v>
      </c>
      <c r="B60" s="756"/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6"/>
      <c r="T60" s="756"/>
      <c r="U60" s="71"/>
      <c r="V60" s="71"/>
      <c r="W60" s="65" t="s">
        <v>51</v>
      </c>
      <c r="X60" s="71" t="s">
        <v>51</v>
      </c>
      <c r="Y60" s="67"/>
      <c r="Z60" s="71"/>
      <c r="AA60" s="71"/>
      <c r="AB60" s="71"/>
      <c r="AC60" s="71"/>
      <c r="AD60" s="71"/>
      <c r="AE60" s="71"/>
      <c r="AF60" s="71"/>
      <c r="AG60" s="71" t="s">
        <v>52</v>
      </c>
      <c r="AH60" s="71" t="s">
        <v>52</v>
      </c>
      <c r="AI60" s="71"/>
      <c r="AJ60" s="71"/>
      <c r="AK60" s="71"/>
      <c r="AL60" s="71"/>
      <c r="AM60" s="71"/>
      <c r="AN60" s="71"/>
      <c r="AO60" s="71"/>
      <c r="AP60" s="68"/>
      <c r="AQ60" s="68"/>
      <c r="AR60" s="68"/>
      <c r="AS60" s="70"/>
    </row>
    <row r="61" spans="1:45" s="1" customFormat="1" ht="24" customHeight="1" x14ac:dyDescent="0.25">
      <c r="A61" s="116">
        <v>5</v>
      </c>
      <c r="B61" s="117" t="s">
        <v>80</v>
      </c>
      <c r="C61" s="118" t="s">
        <v>158</v>
      </c>
      <c r="D61" s="119"/>
      <c r="E61" s="119"/>
      <c r="F61" s="24">
        <f>(F63+F64)/(F63+F64)*100</f>
        <v>100</v>
      </c>
      <c r="G61" s="98" t="s">
        <v>50</v>
      </c>
      <c r="H61" s="23">
        <f>SUM(H63:H64)</f>
        <v>510550</v>
      </c>
      <c r="I61" s="21" t="e">
        <f>(I63+I64)/(I63+I64)*100</f>
        <v>#DIV/0!</v>
      </c>
      <c r="J61" s="21"/>
      <c r="K61" s="21"/>
      <c r="L61" s="21"/>
      <c r="M61" s="21"/>
      <c r="N61" s="23">
        <f>SUM(N63:N64)</f>
        <v>0</v>
      </c>
      <c r="O61" s="23"/>
      <c r="P61" s="23"/>
      <c r="Q61" s="23"/>
      <c r="R61" s="23"/>
      <c r="S61" s="120" t="e">
        <f>(S63+S64)/(S63+S64)*100</f>
        <v>#DIV/0!</v>
      </c>
      <c r="T61" s="23">
        <f>SUM(T63:T64)</f>
        <v>0</v>
      </c>
      <c r="U61" s="24" t="e">
        <f>(U63+U64)/(S63+S64)*100</f>
        <v>#DIV/0!</v>
      </c>
      <c r="V61" s="23">
        <f>SUM(V63:V64)</f>
        <v>0</v>
      </c>
      <c r="W61" s="25" t="e">
        <f>(W63+W64)/(S63+S64)*100</f>
        <v>#DIV/0!</v>
      </c>
      <c r="X61" s="23">
        <f>SUM(X63:X64)</f>
        <v>0</v>
      </c>
      <c r="Y61" s="25" t="e">
        <f>(Y63+Y64)/(S63+S64)*100</f>
        <v>#DIV/0!</v>
      </c>
      <c r="Z61" s="26">
        <f>SUM(Z63:Z64)</f>
        <v>0</v>
      </c>
      <c r="AA61" s="26"/>
      <c r="AB61" s="26"/>
      <c r="AC61" s="26"/>
      <c r="AD61" s="26"/>
      <c r="AE61" s="24" t="e">
        <f>(AE63+AE64)/(S63+S64)*100</f>
        <v>#DIV/0!</v>
      </c>
      <c r="AF61" s="23">
        <f>SUM(AF63:AF64)</f>
        <v>0</v>
      </c>
      <c r="AG61" s="25" t="e">
        <f>(AG63+AG64)/(S63+S64)*100</f>
        <v>#DIV/0!</v>
      </c>
      <c r="AH61" s="23">
        <f>SUM(AH63:AH64)</f>
        <v>0</v>
      </c>
      <c r="AI61" s="23"/>
      <c r="AJ61" s="23"/>
      <c r="AK61" s="23"/>
      <c r="AL61" s="23"/>
      <c r="AM61" s="23"/>
      <c r="AN61" s="23"/>
      <c r="AO61" s="121"/>
      <c r="AP61" s="121"/>
      <c r="AQ61" s="122"/>
      <c r="AR61" s="122"/>
      <c r="AS61" s="123"/>
    </row>
    <row r="62" spans="1:45" s="1" customFormat="1" ht="24" customHeight="1" x14ac:dyDescent="0.25">
      <c r="A62" s="124"/>
      <c r="B62" s="125"/>
      <c r="C62" s="126"/>
      <c r="D62" s="119" t="s">
        <v>9</v>
      </c>
      <c r="E62" s="127"/>
      <c r="F62" s="128" t="s">
        <v>55</v>
      </c>
      <c r="G62" s="129"/>
      <c r="H62" s="130"/>
      <c r="I62" s="128" t="s">
        <v>159</v>
      </c>
      <c r="J62" s="128"/>
      <c r="K62" s="128"/>
      <c r="L62" s="128"/>
      <c r="M62" s="128"/>
      <c r="N62" s="130"/>
      <c r="O62" s="130"/>
      <c r="P62" s="130"/>
      <c r="Q62" s="130"/>
      <c r="R62" s="130"/>
      <c r="S62" s="131" t="s">
        <v>4</v>
      </c>
      <c r="T62" s="130"/>
      <c r="U62" s="128"/>
      <c r="V62" s="130"/>
      <c r="W62" s="132"/>
      <c r="X62" s="130"/>
      <c r="Y62" s="132"/>
      <c r="Z62" s="133"/>
      <c r="AA62" s="133"/>
      <c r="AB62" s="133"/>
      <c r="AC62" s="133"/>
      <c r="AD62" s="133"/>
      <c r="AE62" s="128"/>
      <c r="AF62" s="130"/>
      <c r="AG62" s="132"/>
      <c r="AH62" s="130"/>
      <c r="AI62" s="130"/>
      <c r="AJ62" s="130"/>
      <c r="AK62" s="130"/>
      <c r="AL62" s="130"/>
      <c r="AM62" s="130"/>
      <c r="AN62" s="130"/>
      <c r="AO62" s="134"/>
      <c r="AP62" s="134"/>
      <c r="AQ62" s="135"/>
      <c r="AR62" s="135"/>
      <c r="AS62" s="136"/>
    </row>
    <row r="63" spans="1:45" s="1" customFormat="1" ht="25.5" x14ac:dyDescent="0.25">
      <c r="A63" s="137"/>
      <c r="B63" s="138">
        <v>1</v>
      </c>
      <c r="C63" s="139" t="s">
        <v>160</v>
      </c>
      <c r="D63" s="140" t="s">
        <v>161</v>
      </c>
      <c r="E63" s="140"/>
      <c r="F63" s="141">
        <v>5</v>
      </c>
      <c r="G63" s="142" t="s">
        <v>162</v>
      </c>
      <c r="H63" s="143">
        <f>105550000/1000</f>
        <v>105550</v>
      </c>
      <c r="I63" s="144"/>
      <c r="J63" s="144"/>
      <c r="K63" s="144"/>
      <c r="L63" s="144"/>
      <c r="M63" s="144"/>
      <c r="N63" s="145"/>
      <c r="O63" s="145"/>
      <c r="P63" s="145"/>
      <c r="Q63" s="145"/>
      <c r="R63" s="145"/>
      <c r="S63" s="146"/>
      <c r="T63" s="143"/>
      <c r="U63" s="147"/>
      <c r="V63" s="145"/>
      <c r="W63" s="37"/>
      <c r="X63" s="145"/>
      <c r="Y63" s="37"/>
      <c r="Z63" s="148"/>
      <c r="AA63" s="148"/>
      <c r="AB63" s="148"/>
      <c r="AC63" s="148"/>
      <c r="AD63" s="148"/>
      <c r="AE63" s="149"/>
      <c r="AF63" s="138"/>
      <c r="AG63" s="89"/>
      <c r="AH63" s="150"/>
      <c r="AI63" s="150"/>
      <c r="AJ63" s="150"/>
      <c r="AK63" s="150"/>
      <c r="AL63" s="150"/>
      <c r="AM63" s="150"/>
      <c r="AN63" s="150"/>
      <c r="AO63" s="151"/>
      <c r="AP63" s="151"/>
      <c r="AQ63" s="152"/>
      <c r="AR63" s="152"/>
      <c r="AS63" s="767"/>
    </row>
    <row r="64" spans="1:45" s="1" customFormat="1" ht="24" customHeight="1" x14ac:dyDescent="0.25">
      <c r="A64" s="153"/>
      <c r="B64" s="106">
        <v>2</v>
      </c>
      <c r="C64" s="154" t="s">
        <v>163</v>
      </c>
      <c r="D64" s="155" t="s">
        <v>164</v>
      </c>
      <c r="E64" s="155"/>
      <c r="F64" s="156">
        <v>5</v>
      </c>
      <c r="G64" s="157" t="s">
        <v>162</v>
      </c>
      <c r="H64" s="158">
        <f>405000000/1000</f>
        <v>405000</v>
      </c>
      <c r="I64" s="159"/>
      <c r="J64" s="159"/>
      <c r="K64" s="159"/>
      <c r="L64" s="159"/>
      <c r="M64" s="159"/>
      <c r="N64" s="160"/>
      <c r="O64" s="160"/>
      <c r="P64" s="160"/>
      <c r="Q64" s="160"/>
      <c r="R64" s="160"/>
      <c r="S64" s="161"/>
      <c r="T64" s="158"/>
      <c r="U64" s="162"/>
      <c r="V64" s="160"/>
      <c r="W64" s="60"/>
      <c r="X64" s="160"/>
      <c r="Y64" s="60"/>
      <c r="Z64" s="163"/>
      <c r="AA64" s="163"/>
      <c r="AB64" s="163"/>
      <c r="AC64" s="163"/>
      <c r="AD64" s="163"/>
      <c r="AE64" s="164"/>
      <c r="AF64" s="106"/>
      <c r="AG64" s="105"/>
      <c r="AH64" s="165"/>
      <c r="AI64" s="165"/>
      <c r="AJ64" s="165"/>
      <c r="AK64" s="165"/>
      <c r="AL64" s="165"/>
      <c r="AM64" s="165"/>
      <c r="AN64" s="165"/>
      <c r="AO64" s="166"/>
      <c r="AP64" s="166"/>
      <c r="AQ64" s="167"/>
      <c r="AR64" s="167"/>
      <c r="AS64" s="769"/>
    </row>
    <row r="65" spans="1:45" s="1" customFormat="1" ht="12.75" x14ac:dyDescent="0.25">
      <c r="A65" s="755" t="s">
        <v>45</v>
      </c>
      <c r="B65" s="756"/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756"/>
      <c r="P65" s="756"/>
      <c r="Q65" s="756"/>
      <c r="R65" s="756"/>
      <c r="S65" s="756"/>
      <c r="T65" s="756"/>
      <c r="U65" s="63" t="e">
        <f>U61</f>
        <v>#DIV/0!</v>
      </c>
      <c r="V65" s="64" t="e">
        <f>V61/T61*100</f>
        <v>#DIV/0!</v>
      </c>
      <c r="W65" s="65" t="e">
        <f>W61</f>
        <v>#DIV/0!</v>
      </c>
      <c r="X65" s="64" t="e">
        <f>X61/T61*100</f>
        <v>#DIV/0!</v>
      </c>
      <c r="Y65" s="67" t="e">
        <f>Y61</f>
        <v>#DIV/0!</v>
      </c>
      <c r="Z65" s="64" t="e">
        <f>Z61/T61*100</f>
        <v>#DIV/0!</v>
      </c>
      <c r="AA65" s="64"/>
      <c r="AB65" s="64"/>
      <c r="AC65" s="64"/>
      <c r="AD65" s="64"/>
      <c r="AE65" s="63" t="e">
        <f>AE61</f>
        <v>#DIV/0!</v>
      </c>
      <c r="AF65" s="95" t="e">
        <f>AF61/T61*100</f>
        <v>#DIV/0!</v>
      </c>
      <c r="AG65" s="96" t="e">
        <f>(U65+W65+Y65+AE65)</f>
        <v>#DIV/0!</v>
      </c>
      <c r="AH65" s="63" t="e">
        <f>V65+X65+Z65+AF65</f>
        <v>#DIV/0!</v>
      </c>
      <c r="AI65" s="168"/>
      <c r="AJ65" s="168"/>
      <c r="AK65" s="168"/>
      <c r="AL65" s="168"/>
      <c r="AM65" s="168"/>
      <c r="AN65" s="168"/>
      <c r="AO65" s="114"/>
      <c r="AP65" s="114"/>
      <c r="AQ65" s="115">
        <f>SUM(AQ63:AQ64)/2</f>
        <v>0</v>
      </c>
      <c r="AR65" s="115">
        <f>SUM(AR63:AR64)/2</f>
        <v>0</v>
      </c>
      <c r="AS65" s="70"/>
    </row>
    <row r="66" spans="1:45" s="1" customFormat="1" ht="12.75" x14ac:dyDescent="0.25">
      <c r="A66" s="755" t="s">
        <v>46</v>
      </c>
      <c r="B66" s="756"/>
      <c r="C66" s="756"/>
      <c r="D66" s="756"/>
      <c r="E66" s="756"/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756"/>
      <c r="R66" s="756"/>
      <c r="S66" s="756"/>
      <c r="T66" s="756"/>
      <c r="U66" s="71"/>
      <c r="V66" s="71"/>
      <c r="W66" s="65"/>
      <c r="X66" s="71"/>
      <c r="Y66" s="67"/>
      <c r="Z66" s="71"/>
      <c r="AA66" s="71"/>
      <c r="AB66" s="71"/>
      <c r="AC66" s="71"/>
      <c r="AD66" s="71"/>
      <c r="AE66" s="71"/>
      <c r="AF66" s="71"/>
      <c r="AG66" s="71" t="s">
        <v>52</v>
      </c>
      <c r="AH66" s="71" t="s">
        <v>52</v>
      </c>
      <c r="AI66" s="71"/>
      <c r="AJ66" s="71"/>
      <c r="AK66" s="71"/>
      <c r="AL66" s="71"/>
      <c r="AM66" s="71"/>
      <c r="AN66" s="71"/>
      <c r="AO66" s="71"/>
      <c r="AP66" s="68"/>
      <c r="AQ66" s="68"/>
      <c r="AR66" s="68"/>
      <c r="AS66" s="70"/>
    </row>
    <row r="67" spans="1:45" s="1" customFormat="1" ht="24" customHeight="1" x14ac:dyDescent="0.25">
      <c r="A67" s="116">
        <v>6</v>
      </c>
      <c r="B67" s="117" t="s">
        <v>80</v>
      </c>
      <c r="C67" s="118" t="s">
        <v>3</v>
      </c>
      <c r="D67" s="119" t="s">
        <v>26</v>
      </c>
      <c r="E67" s="119"/>
      <c r="F67" s="24">
        <f>(F68+F69)/(F68+F69)*100</f>
        <v>100</v>
      </c>
      <c r="G67" s="98" t="s">
        <v>50</v>
      </c>
      <c r="H67" s="23">
        <f>SUM(H68:H69)</f>
        <v>157000</v>
      </c>
      <c r="I67" s="21" t="e">
        <f>(I68+I69)/(I68+I69)*100</f>
        <v>#DIV/0!</v>
      </c>
      <c r="J67" s="21"/>
      <c r="K67" s="21"/>
      <c r="L67" s="21"/>
      <c r="M67" s="21"/>
      <c r="N67" s="23">
        <f>SUM(N68:N69)</f>
        <v>0</v>
      </c>
      <c r="O67" s="23"/>
      <c r="P67" s="23"/>
      <c r="Q67" s="23"/>
      <c r="R67" s="23"/>
      <c r="S67" s="23" t="e">
        <f>(S68+S69)/(S68+S69)*100</f>
        <v>#DIV/0!</v>
      </c>
      <c r="T67" s="23">
        <f>SUM(T68:T69)</f>
        <v>0</v>
      </c>
      <c r="U67" s="21" t="e">
        <f>(U68+U69)/(S68+S69)*100</f>
        <v>#DIV/0!</v>
      </c>
      <c r="V67" s="23">
        <f>SUM(V68:V69)</f>
        <v>0</v>
      </c>
      <c r="W67" s="25" t="e">
        <f>(W68+W69)/(S68+S69)*100</f>
        <v>#DIV/0!</v>
      </c>
      <c r="X67" s="23">
        <f>SUM(X68:X69)</f>
        <v>0</v>
      </c>
      <c r="Y67" s="25" t="e">
        <f>(Y68+Y69)/(S68+S69)*100</f>
        <v>#DIV/0!</v>
      </c>
      <c r="Z67" s="169">
        <f>SUM(Z68:Z69)</f>
        <v>0</v>
      </c>
      <c r="AA67" s="169"/>
      <c r="AB67" s="169"/>
      <c r="AC67" s="169"/>
      <c r="AD67" s="169"/>
      <c r="AE67" s="21" t="e">
        <f>(AE68+AE69)/(S68+S69)*100</f>
        <v>#DIV/0!</v>
      </c>
      <c r="AF67" s="23">
        <f>SUM(AF68:AF69)</f>
        <v>0</v>
      </c>
      <c r="AG67" s="25" t="e">
        <f>(AG68+AG69)/(S68+S69)*100</f>
        <v>#DIV/0!</v>
      </c>
      <c r="AH67" s="23">
        <f>SUM(AH68:AH69)</f>
        <v>0</v>
      </c>
      <c r="AI67" s="23"/>
      <c r="AJ67" s="23"/>
      <c r="AK67" s="23"/>
      <c r="AL67" s="23"/>
      <c r="AM67" s="23"/>
      <c r="AN67" s="23"/>
      <c r="AO67" s="121"/>
      <c r="AP67" s="121"/>
      <c r="AQ67" s="122"/>
      <c r="AR67" s="122"/>
      <c r="AS67" s="123"/>
    </row>
    <row r="68" spans="1:45" s="1" customFormat="1" ht="25.5" x14ac:dyDescent="0.25">
      <c r="A68" s="44"/>
      <c r="B68" s="29">
        <v>1</v>
      </c>
      <c r="C68" s="30" t="s">
        <v>165</v>
      </c>
      <c r="D68" s="86" t="s">
        <v>166</v>
      </c>
      <c r="E68" s="86"/>
      <c r="F68" s="32">
        <v>1</v>
      </c>
      <c r="G68" s="33" t="s">
        <v>162</v>
      </c>
      <c r="H68" s="34">
        <f>22000000/1000</f>
        <v>22000</v>
      </c>
      <c r="I68" s="35"/>
      <c r="J68" s="35"/>
      <c r="K68" s="35"/>
      <c r="L68" s="35"/>
      <c r="M68" s="35"/>
      <c r="N68" s="36"/>
      <c r="O68" s="36"/>
      <c r="P68" s="36"/>
      <c r="Q68" s="36"/>
      <c r="R68" s="36"/>
      <c r="S68" s="88"/>
      <c r="T68" s="170"/>
      <c r="U68" s="88"/>
      <c r="V68" s="36"/>
      <c r="W68" s="37"/>
      <c r="X68" s="36"/>
      <c r="Y68" s="38"/>
      <c r="Z68" s="39"/>
      <c r="AA68" s="39"/>
      <c r="AB68" s="39"/>
      <c r="AC68" s="39"/>
      <c r="AD68" s="39"/>
      <c r="AE68" s="171"/>
      <c r="AF68" s="138"/>
      <c r="AG68" s="43"/>
      <c r="AH68" s="41"/>
      <c r="AI68" s="41"/>
      <c r="AJ68" s="41"/>
      <c r="AK68" s="41"/>
      <c r="AL68" s="41"/>
      <c r="AM68" s="41"/>
      <c r="AN68" s="41"/>
      <c r="AO68" s="42"/>
      <c r="AP68" s="42"/>
      <c r="AQ68" s="43"/>
      <c r="AR68" s="43"/>
      <c r="AS68" s="779"/>
    </row>
    <row r="69" spans="1:45" s="1" customFormat="1" ht="25.5" x14ac:dyDescent="0.25">
      <c r="A69" s="46"/>
      <c r="B69" s="102">
        <v>2</v>
      </c>
      <c r="C69" s="47" t="s">
        <v>167</v>
      </c>
      <c r="D69" s="90" t="s">
        <v>168</v>
      </c>
      <c r="E69" s="90"/>
      <c r="F69" s="49">
        <v>5</v>
      </c>
      <c r="G69" s="50" t="s">
        <v>162</v>
      </c>
      <c r="H69" s="51">
        <f>135000000/1000</f>
        <v>135000</v>
      </c>
      <c r="I69" s="52"/>
      <c r="J69" s="52"/>
      <c r="K69" s="52"/>
      <c r="L69" s="52"/>
      <c r="M69" s="52"/>
      <c r="N69" s="53"/>
      <c r="O69" s="53"/>
      <c r="P69" s="53"/>
      <c r="Q69" s="53"/>
      <c r="R69" s="53"/>
      <c r="S69" s="104"/>
      <c r="T69" s="51"/>
      <c r="U69" s="52"/>
      <c r="V69" s="53"/>
      <c r="W69" s="60"/>
      <c r="X69" s="53"/>
      <c r="Y69" s="56"/>
      <c r="Z69" s="61"/>
      <c r="AA69" s="61"/>
      <c r="AB69" s="61"/>
      <c r="AC69" s="61"/>
      <c r="AD69" s="61"/>
      <c r="AE69" s="53"/>
      <c r="AF69" s="106"/>
      <c r="AG69" s="59"/>
      <c r="AH69" s="57"/>
      <c r="AI69" s="57"/>
      <c r="AJ69" s="57"/>
      <c r="AK69" s="57"/>
      <c r="AL69" s="57"/>
      <c r="AM69" s="57"/>
      <c r="AN69" s="57"/>
      <c r="AO69" s="58"/>
      <c r="AP69" s="58"/>
      <c r="AQ69" s="59"/>
      <c r="AR69" s="59"/>
      <c r="AS69" s="780"/>
    </row>
    <row r="70" spans="1:45" s="1" customFormat="1" ht="12.75" x14ac:dyDescent="0.25">
      <c r="A70" s="755" t="s">
        <v>45</v>
      </c>
      <c r="B70" s="756"/>
      <c r="C70" s="756"/>
      <c r="D70" s="756"/>
      <c r="E70" s="756"/>
      <c r="F70" s="756"/>
      <c r="G70" s="756"/>
      <c r="H70" s="756"/>
      <c r="I70" s="756"/>
      <c r="J70" s="756"/>
      <c r="K70" s="756"/>
      <c r="L70" s="756"/>
      <c r="M70" s="756"/>
      <c r="N70" s="756"/>
      <c r="O70" s="756"/>
      <c r="P70" s="756"/>
      <c r="Q70" s="756"/>
      <c r="R70" s="756"/>
      <c r="S70" s="756"/>
      <c r="T70" s="756"/>
      <c r="U70" s="63" t="e">
        <f>U67</f>
        <v>#DIV/0!</v>
      </c>
      <c r="V70" s="64" t="e">
        <f>V67/T67*100</f>
        <v>#DIV/0!</v>
      </c>
      <c r="W70" s="65" t="e">
        <f>W67</f>
        <v>#DIV/0!</v>
      </c>
      <c r="X70" s="66" t="e">
        <f>X67/T67*100</f>
        <v>#DIV/0!</v>
      </c>
      <c r="Y70" s="67" t="e">
        <f>Y67</f>
        <v>#DIV/0!</v>
      </c>
      <c r="Z70" s="66" t="e">
        <f>Z67/T67*100</f>
        <v>#DIV/0!</v>
      </c>
      <c r="AA70" s="66"/>
      <c r="AB70" s="66"/>
      <c r="AC70" s="66"/>
      <c r="AD70" s="66"/>
      <c r="AE70" s="66" t="e">
        <f>AE67</f>
        <v>#DIV/0!</v>
      </c>
      <c r="AF70" s="65" t="e">
        <f>AF67/T67*100</f>
        <v>#DIV/0!</v>
      </c>
      <c r="AG70" s="67" t="e">
        <f>(U70+W70+Y70+AE70)</f>
        <v>#DIV/0!</v>
      </c>
      <c r="AH70" s="66" t="e">
        <f>V70+X70+Z70+AF70</f>
        <v>#DIV/0!</v>
      </c>
      <c r="AI70" s="113"/>
      <c r="AJ70" s="113"/>
      <c r="AK70" s="113"/>
      <c r="AL70" s="113"/>
      <c r="AM70" s="113"/>
      <c r="AN70" s="113"/>
      <c r="AO70" s="114"/>
      <c r="AP70" s="114"/>
      <c r="AQ70" s="115">
        <f>SUM(AQ68:AQ69)/2</f>
        <v>0</v>
      </c>
      <c r="AR70" s="115">
        <f>SUM(AR68:AR69)/2</f>
        <v>0</v>
      </c>
      <c r="AS70" s="70"/>
    </row>
    <row r="71" spans="1:45" s="172" customFormat="1" ht="12.75" x14ac:dyDescent="0.25">
      <c r="A71" s="755" t="s">
        <v>46</v>
      </c>
      <c r="B71" s="756"/>
      <c r="C71" s="756"/>
      <c r="D71" s="756"/>
      <c r="E71" s="756"/>
      <c r="F71" s="756"/>
      <c r="G71" s="756"/>
      <c r="H71" s="756"/>
      <c r="I71" s="756"/>
      <c r="J71" s="756"/>
      <c r="K71" s="756"/>
      <c r="L71" s="756"/>
      <c r="M71" s="756"/>
      <c r="N71" s="756"/>
      <c r="O71" s="756"/>
      <c r="P71" s="756"/>
      <c r="Q71" s="756"/>
      <c r="R71" s="756"/>
      <c r="S71" s="756"/>
      <c r="T71" s="756"/>
      <c r="U71" s="71"/>
      <c r="V71" s="71"/>
      <c r="W71" s="65" t="s">
        <v>51</v>
      </c>
      <c r="X71" s="71" t="s">
        <v>52</v>
      </c>
      <c r="Y71" s="67"/>
      <c r="Z71" s="71"/>
      <c r="AA71" s="71"/>
      <c r="AB71" s="71"/>
      <c r="AC71" s="71"/>
      <c r="AD71" s="71"/>
      <c r="AE71" s="71" t="s">
        <v>52</v>
      </c>
      <c r="AF71" s="71" t="s">
        <v>52</v>
      </c>
      <c r="AG71" s="71" t="s">
        <v>52</v>
      </c>
      <c r="AH71" s="71" t="s">
        <v>52</v>
      </c>
      <c r="AI71" s="71"/>
      <c r="AJ71" s="71"/>
      <c r="AK71" s="71"/>
      <c r="AL71" s="71"/>
      <c r="AM71" s="71"/>
      <c r="AN71" s="71"/>
      <c r="AO71" s="71"/>
      <c r="AP71" s="68"/>
      <c r="AQ71" s="68"/>
      <c r="AR71" s="68"/>
      <c r="AS71" s="70"/>
    </row>
    <row r="72" spans="1:45" s="172" customFormat="1" ht="12.75" x14ac:dyDescent="0.25">
      <c r="A72" s="18">
        <v>7</v>
      </c>
      <c r="B72" s="19" t="s">
        <v>80</v>
      </c>
      <c r="C72" s="20" t="s">
        <v>169</v>
      </c>
      <c r="D72" s="5"/>
      <c r="E72" s="5"/>
      <c r="F72" s="73">
        <f>(SUM(F74:F84)/SUM(F74:F84))*100</f>
        <v>100</v>
      </c>
      <c r="G72" s="74" t="s">
        <v>50</v>
      </c>
      <c r="H72" s="75">
        <f>SUM(H74:H84)</f>
        <v>25834547.73875</v>
      </c>
      <c r="I72" s="73" t="e">
        <f>(SUM(I74:I84)/SUM(I74:I84))*100</f>
        <v>#DIV/0!</v>
      </c>
      <c r="J72" s="73"/>
      <c r="K72" s="73"/>
      <c r="L72" s="73"/>
      <c r="M72" s="73"/>
      <c r="N72" s="75">
        <f>SUM(N74:N84)</f>
        <v>0</v>
      </c>
      <c r="O72" s="75"/>
      <c r="P72" s="75"/>
      <c r="Q72" s="75"/>
      <c r="R72" s="75"/>
      <c r="S72" s="73" t="e">
        <f>(SUM(S74:S84)/SUM(S74:S84))*100</f>
        <v>#DIV/0!</v>
      </c>
      <c r="T72" s="75">
        <f>SUM(T74:T84)</f>
        <v>0</v>
      </c>
      <c r="U72" s="73" t="e">
        <f>(SUM(U74:U84)/SUM(S74:S84))*100</f>
        <v>#DIV/0!</v>
      </c>
      <c r="V72" s="75">
        <f>SUM(V74:V84)</f>
        <v>0</v>
      </c>
      <c r="W72" s="173" t="e">
        <f>(SUM(W74:W84)/SUM(S74:S84))*100</f>
        <v>#DIV/0!</v>
      </c>
      <c r="X72" s="75">
        <f>SUM(X74:X84)</f>
        <v>0</v>
      </c>
      <c r="Y72" s="174" t="e">
        <f>(SUM(Y74:Y84)/SUM(S74:S84))*100</f>
        <v>#DIV/0!</v>
      </c>
      <c r="Z72" s="175">
        <f>SUM(Z74:Z84)</f>
        <v>0</v>
      </c>
      <c r="AA72" s="175"/>
      <c r="AB72" s="175"/>
      <c r="AC72" s="175"/>
      <c r="AD72" s="175"/>
      <c r="AE72" s="73" t="e">
        <f>(SUM(AE74:AE79)/SUM(S74:S79))*100</f>
        <v>#DIV/0!</v>
      </c>
      <c r="AF72" s="176">
        <f>SUM(AF74:AF84)</f>
        <v>0</v>
      </c>
      <c r="AG72" s="177" t="e">
        <f>U72+W72+Y72+AE72</f>
        <v>#DIV/0!</v>
      </c>
      <c r="AH72" s="75">
        <f>SUM(AH74:AH84)</f>
        <v>0</v>
      </c>
      <c r="AI72" s="75"/>
      <c r="AJ72" s="75"/>
      <c r="AK72" s="75"/>
      <c r="AL72" s="75"/>
      <c r="AM72" s="75"/>
      <c r="AN72" s="75"/>
      <c r="AO72" s="99"/>
      <c r="AP72" s="99"/>
      <c r="AQ72" s="100"/>
      <c r="AR72" s="100"/>
      <c r="AS72" s="101"/>
    </row>
    <row r="73" spans="1:45" s="172" customFormat="1" ht="12.75" x14ac:dyDescent="0.25">
      <c r="A73" s="178"/>
      <c r="B73" s="179"/>
      <c r="C73" s="180"/>
      <c r="D73" s="181" t="s">
        <v>10</v>
      </c>
      <c r="E73" s="181"/>
      <c r="F73" s="182">
        <v>64</v>
      </c>
      <c r="G73" s="183"/>
      <c r="H73" s="184"/>
      <c r="I73" s="185">
        <v>64.08</v>
      </c>
      <c r="J73" s="185"/>
      <c r="K73" s="185"/>
      <c r="L73" s="185"/>
      <c r="M73" s="185"/>
      <c r="N73" s="184"/>
      <c r="O73" s="184"/>
      <c r="P73" s="184"/>
      <c r="Q73" s="184"/>
      <c r="R73" s="184"/>
      <c r="S73" s="186">
        <v>60</v>
      </c>
      <c r="T73" s="184"/>
      <c r="U73" s="182"/>
      <c r="V73" s="184"/>
      <c r="W73" s="187"/>
      <c r="X73" s="184"/>
      <c r="Y73" s="186"/>
      <c r="Z73" s="188"/>
      <c r="AA73" s="188"/>
      <c r="AB73" s="188"/>
      <c r="AC73" s="188"/>
      <c r="AD73" s="188"/>
      <c r="AE73" s="182"/>
      <c r="AF73" s="189"/>
      <c r="AG73" s="190"/>
      <c r="AH73" s="184"/>
      <c r="AI73" s="184"/>
      <c r="AJ73" s="184"/>
      <c r="AK73" s="184"/>
      <c r="AL73" s="184"/>
      <c r="AM73" s="184"/>
      <c r="AN73" s="184"/>
      <c r="AO73" s="191"/>
      <c r="AP73" s="191"/>
      <c r="AQ73" s="192"/>
      <c r="AR73" s="192"/>
      <c r="AS73" s="193"/>
    </row>
    <row r="74" spans="1:45" s="172" customFormat="1" ht="24" customHeight="1" x14ac:dyDescent="0.25">
      <c r="A74" s="44"/>
      <c r="B74" s="29">
        <v>1</v>
      </c>
      <c r="C74" s="194" t="s">
        <v>170</v>
      </c>
      <c r="D74" s="86" t="s">
        <v>171</v>
      </c>
      <c r="E74" s="86"/>
      <c r="F74" s="171">
        <v>5</v>
      </c>
      <c r="G74" s="45" t="s">
        <v>135</v>
      </c>
      <c r="H74" s="34">
        <f>200000000/1000</f>
        <v>200000</v>
      </c>
      <c r="I74" s="35"/>
      <c r="J74" s="35"/>
      <c r="K74" s="35"/>
      <c r="L74" s="35"/>
      <c r="M74" s="35"/>
      <c r="N74" s="36"/>
      <c r="O74" s="36"/>
      <c r="P74" s="36"/>
      <c r="Q74" s="36"/>
      <c r="R74" s="36"/>
      <c r="S74" s="88"/>
      <c r="T74" s="34"/>
      <c r="U74" s="88"/>
      <c r="V74" s="36"/>
      <c r="W74" s="37"/>
      <c r="X74" s="36"/>
      <c r="Y74" s="38"/>
      <c r="Z74" s="39"/>
      <c r="AA74" s="39"/>
      <c r="AB74" s="39"/>
      <c r="AC74" s="39"/>
      <c r="AD74" s="39"/>
      <c r="AE74" s="171"/>
      <c r="AF74" s="40"/>
      <c r="AG74" s="38"/>
      <c r="AH74" s="41"/>
      <c r="AI74" s="41"/>
      <c r="AJ74" s="41"/>
      <c r="AK74" s="41"/>
      <c r="AL74" s="41"/>
      <c r="AM74" s="41"/>
      <c r="AN74" s="41"/>
      <c r="AO74" s="42"/>
      <c r="AP74" s="42"/>
      <c r="AQ74" s="43"/>
      <c r="AR74" s="43"/>
      <c r="AS74" s="195"/>
    </row>
    <row r="75" spans="1:45" s="172" customFormat="1" ht="24" customHeight="1" x14ac:dyDescent="0.25">
      <c r="A75" s="44"/>
      <c r="B75" s="29">
        <v>2</v>
      </c>
      <c r="C75" s="194" t="s">
        <v>172</v>
      </c>
      <c r="D75" s="86" t="s">
        <v>173</v>
      </c>
      <c r="E75" s="86"/>
      <c r="F75" s="171">
        <v>6</v>
      </c>
      <c r="G75" s="45" t="s">
        <v>135</v>
      </c>
      <c r="H75" s="34">
        <f>740000000/1000</f>
        <v>740000</v>
      </c>
      <c r="I75" s="35"/>
      <c r="J75" s="35"/>
      <c r="K75" s="35"/>
      <c r="L75" s="35"/>
      <c r="M75" s="35"/>
      <c r="N75" s="36"/>
      <c r="O75" s="36"/>
      <c r="P75" s="36"/>
      <c r="Q75" s="36"/>
      <c r="R75" s="36"/>
      <c r="S75" s="88"/>
      <c r="T75" s="34"/>
      <c r="U75" s="88"/>
      <c r="V75" s="36"/>
      <c r="W75" s="37"/>
      <c r="X75" s="36"/>
      <c r="Y75" s="38"/>
      <c r="Z75" s="39"/>
      <c r="AA75" s="39"/>
      <c r="AB75" s="39"/>
      <c r="AC75" s="39"/>
      <c r="AD75" s="39"/>
      <c r="AE75" s="171"/>
      <c r="AF75" s="40"/>
      <c r="AG75" s="43"/>
      <c r="AH75" s="41"/>
      <c r="AI75" s="41"/>
      <c r="AJ75" s="41"/>
      <c r="AK75" s="41"/>
      <c r="AL75" s="41"/>
      <c r="AM75" s="41"/>
      <c r="AN75" s="41"/>
      <c r="AO75" s="42"/>
      <c r="AP75" s="42"/>
      <c r="AQ75" s="43"/>
      <c r="AR75" s="43"/>
      <c r="AS75" s="195"/>
    </row>
    <row r="76" spans="1:45" s="172" customFormat="1" ht="24" customHeight="1" x14ac:dyDescent="0.25">
      <c r="A76" s="44"/>
      <c r="B76" s="29">
        <v>3</v>
      </c>
      <c r="C76" s="194" t="s">
        <v>174</v>
      </c>
      <c r="D76" s="86" t="s">
        <v>175</v>
      </c>
      <c r="E76" s="86"/>
      <c r="F76" s="32">
        <v>5</v>
      </c>
      <c r="G76" s="33" t="s">
        <v>157</v>
      </c>
      <c r="H76" s="34">
        <f>579441000/1000</f>
        <v>579441</v>
      </c>
      <c r="I76" s="35"/>
      <c r="J76" s="35"/>
      <c r="K76" s="35"/>
      <c r="L76" s="35"/>
      <c r="M76" s="35"/>
      <c r="N76" s="36"/>
      <c r="O76" s="36"/>
      <c r="P76" s="36"/>
      <c r="Q76" s="36"/>
      <c r="R76" s="36"/>
      <c r="S76" s="88"/>
      <c r="T76" s="34"/>
      <c r="U76" s="88"/>
      <c r="V76" s="36"/>
      <c r="W76" s="37"/>
      <c r="X76" s="36"/>
      <c r="Y76" s="38"/>
      <c r="Z76" s="39"/>
      <c r="AA76" s="39"/>
      <c r="AB76" s="39"/>
      <c r="AC76" s="39"/>
      <c r="AD76" s="39"/>
      <c r="AE76" s="171"/>
      <c r="AF76" s="40"/>
      <c r="AG76" s="43"/>
      <c r="AH76" s="41"/>
      <c r="AI76" s="41"/>
      <c r="AJ76" s="41"/>
      <c r="AK76" s="41"/>
      <c r="AL76" s="41"/>
      <c r="AM76" s="41"/>
      <c r="AN76" s="41"/>
      <c r="AO76" s="42"/>
      <c r="AP76" s="42"/>
      <c r="AQ76" s="43"/>
      <c r="AR76" s="43"/>
      <c r="AS76" s="767"/>
    </row>
    <row r="77" spans="1:45" s="172" customFormat="1" ht="24" customHeight="1" x14ac:dyDescent="0.25">
      <c r="A77" s="44"/>
      <c r="B77" s="29">
        <v>4</v>
      </c>
      <c r="C77" s="194" t="s">
        <v>176</v>
      </c>
      <c r="D77" s="86" t="s">
        <v>177</v>
      </c>
      <c r="E77" s="86"/>
      <c r="F77" s="32">
        <v>60</v>
      </c>
      <c r="G77" s="33" t="s">
        <v>84</v>
      </c>
      <c r="H77" s="34">
        <f>16521156238.75/1000</f>
        <v>16521156.23875</v>
      </c>
      <c r="I77" s="35"/>
      <c r="J77" s="35"/>
      <c r="K77" s="35"/>
      <c r="L77" s="35"/>
      <c r="M77" s="35"/>
      <c r="N77" s="36"/>
      <c r="O77" s="36"/>
      <c r="P77" s="36"/>
      <c r="Q77" s="36"/>
      <c r="R77" s="36"/>
      <c r="S77" s="110"/>
      <c r="T77" s="34"/>
      <c r="U77" s="88"/>
      <c r="V77" s="36"/>
      <c r="W77" s="89"/>
      <c r="X77" s="36"/>
      <c r="Y77" s="38"/>
      <c r="Z77" s="39"/>
      <c r="AA77" s="39"/>
      <c r="AB77" s="39"/>
      <c r="AC77" s="39"/>
      <c r="AD77" s="39"/>
      <c r="AE77" s="36"/>
      <c r="AF77" s="40"/>
      <c r="AG77" s="43"/>
      <c r="AH77" s="41"/>
      <c r="AI77" s="41"/>
      <c r="AJ77" s="41"/>
      <c r="AK77" s="41"/>
      <c r="AL77" s="41"/>
      <c r="AM77" s="41"/>
      <c r="AN77" s="41"/>
      <c r="AO77" s="42"/>
      <c r="AP77" s="42"/>
      <c r="AQ77" s="43"/>
      <c r="AR77" s="43"/>
      <c r="AS77" s="768"/>
    </row>
    <row r="78" spans="1:45" s="172" customFormat="1" ht="24" customHeight="1" x14ac:dyDescent="0.25">
      <c r="A78" s="44"/>
      <c r="B78" s="29">
        <v>5</v>
      </c>
      <c r="C78" s="194" t="s">
        <v>178</v>
      </c>
      <c r="D78" s="86" t="s">
        <v>179</v>
      </c>
      <c r="E78" s="86"/>
      <c r="F78" s="32">
        <v>5</v>
      </c>
      <c r="G78" s="33" t="s">
        <v>157</v>
      </c>
      <c r="H78" s="34">
        <f>1290000000/1000</f>
        <v>1290000</v>
      </c>
      <c r="I78" s="35"/>
      <c r="J78" s="35"/>
      <c r="K78" s="35"/>
      <c r="L78" s="35"/>
      <c r="M78" s="35"/>
      <c r="N78" s="36"/>
      <c r="O78" s="36"/>
      <c r="P78" s="36"/>
      <c r="Q78" s="36"/>
      <c r="R78" s="36"/>
      <c r="S78" s="110"/>
      <c r="T78" s="34"/>
      <c r="U78" s="35"/>
      <c r="V78" s="36"/>
      <c r="W78" s="89"/>
      <c r="X78" s="36"/>
      <c r="Y78" s="38"/>
      <c r="Z78" s="39"/>
      <c r="AA78" s="39"/>
      <c r="AB78" s="39"/>
      <c r="AC78" s="39"/>
      <c r="AD78" s="39"/>
      <c r="AE78" s="36"/>
      <c r="AF78" s="40"/>
      <c r="AG78" s="43"/>
      <c r="AH78" s="41"/>
      <c r="AI78" s="41"/>
      <c r="AJ78" s="41"/>
      <c r="AK78" s="41"/>
      <c r="AL78" s="41"/>
      <c r="AM78" s="41"/>
      <c r="AN78" s="41"/>
      <c r="AO78" s="42"/>
      <c r="AP78" s="42"/>
      <c r="AQ78" s="43"/>
      <c r="AR78" s="43"/>
      <c r="AS78" s="768"/>
    </row>
    <row r="79" spans="1:45" s="172" customFormat="1" ht="24" customHeight="1" x14ac:dyDescent="0.25">
      <c r="A79" s="44"/>
      <c r="B79" s="29">
        <v>6</v>
      </c>
      <c r="C79" s="194" t="s">
        <v>180</v>
      </c>
      <c r="D79" s="86" t="s">
        <v>181</v>
      </c>
      <c r="E79" s="86"/>
      <c r="F79" s="32">
        <v>5</v>
      </c>
      <c r="G79" s="33" t="s">
        <v>157</v>
      </c>
      <c r="H79" s="34">
        <f>668750500/1000</f>
        <v>668750.5</v>
      </c>
      <c r="I79" s="35"/>
      <c r="J79" s="35"/>
      <c r="K79" s="35"/>
      <c r="L79" s="35"/>
      <c r="M79" s="35"/>
      <c r="N79" s="36"/>
      <c r="O79" s="36"/>
      <c r="P79" s="36"/>
      <c r="Q79" s="36"/>
      <c r="R79" s="36"/>
      <c r="S79" s="110"/>
      <c r="T79" s="34"/>
      <c r="U79" s="88"/>
      <c r="V79" s="36"/>
      <c r="W79" s="89"/>
      <c r="X79" s="36"/>
      <c r="Y79" s="38"/>
      <c r="Z79" s="39"/>
      <c r="AA79" s="39"/>
      <c r="AB79" s="39"/>
      <c r="AC79" s="39"/>
      <c r="AD79" s="39"/>
      <c r="AE79" s="36"/>
      <c r="AF79" s="40"/>
      <c r="AG79" s="43"/>
      <c r="AH79" s="41"/>
      <c r="AI79" s="41"/>
      <c r="AJ79" s="41"/>
      <c r="AK79" s="41"/>
      <c r="AL79" s="41"/>
      <c r="AM79" s="41"/>
      <c r="AN79" s="41"/>
      <c r="AO79" s="42"/>
      <c r="AP79" s="42"/>
      <c r="AQ79" s="43"/>
      <c r="AR79" s="43"/>
      <c r="AS79" s="768"/>
    </row>
    <row r="80" spans="1:45" s="1" customFormat="1" ht="16.5" customHeight="1" x14ac:dyDescent="0.25">
      <c r="A80" s="44"/>
      <c r="B80" s="29">
        <v>7</v>
      </c>
      <c r="C80" s="194" t="s">
        <v>182</v>
      </c>
      <c r="D80" s="86" t="s">
        <v>183</v>
      </c>
      <c r="E80" s="86"/>
      <c r="F80" s="171">
        <v>6</v>
      </c>
      <c r="G80" s="45" t="s">
        <v>135</v>
      </c>
      <c r="H80" s="34">
        <f>1325200000/1000</f>
        <v>1325200</v>
      </c>
      <c r="I80" s="35"/>
      <c r="J80" s="35"/>
      <c r="K80" s="35"/>
      <c r="L80" s="35"/>
      <c r="M80" s="35"/>
      <c r="N80" s="36"/>
      <c r="O80" s="36"/>
      <c r="P80" s="36"/>
      <c r="Q80" s="36"/>
      <c r="R80" s="36"/>
      <c r="S80" s="88"/>
      <c r="T80" s="34"/>
      <c r="U80" s="88"/>
      <c r="V80" s="36"/>
      <c r="W80" s="37"/>
      <c r="X80" s="36"/>
      <c r="Y80" s="38"/>
      <c r="Z80" s="39"/>
      <c r="AA80" s="39"/>
      <c r="AB80" s="39"/>
      <c r="AC80" s="39"/>
      <c r="AD80" s="39"/>
      <c r="AE80" s="36"/>
      <c r="AF80" s="40"/>
      <c r="AG80" s="43"/>
      <c r="AH80" s="41"/>
      <c r="AI80" s="41"/>
      <c r="AJ80" s="41"/>
      <c r="AK80" s="41"/>
      <c r="AL80" s="41"/>
      <c r="AM80" s="41"/>
      <c r="AN80" s="41"/>
      <c r="AO80" s="42"/>
      <c r="AP80" s="42"/>
      <c r="AQ80" s="43"/>
      <c r="AR80" s="43"/>
      <c r="AS80" s="768"/>
    </row>
    <row r="81" spans="1:45" s="1" customFormat="1" ht="24" customHeight="1" x14ac:dyDescent="0.25">
      <c r="A81" s="44"/>
      <c r="B81" s="29">
        <v>8</v>
      </c>
      <c r="C81" s="194" t="s">
        <v>184</v>
      </c>
      <c r="D81" s="86" t="s">
        <v>185</v>
      </c>
      <c r="E81" s="86"/>
      <c r="F81" s="32">
        <v>5</v>
      </c>
      <c r="G81" s="33" t="s">
        <v>157</v>
      </c>
      <c r="H81" s="34">
        <f>2010000000/1000</f>
        <v>2010000</v>
      </c>
      <c r="I81" s="35"/>
      <c r="J81" s="35"/>
      <c r="K81" s="35"/>
      <c r="L81" s="35"/>
      <c r="M81" s="35"/>
      <c r="N81" s="36"/>
      <c r="O81" s="36"/>
      <c r="P81" s="36"/>
      <c r="Q81" s="36"/>
      <c r="R81" s="36"/>
      <c r="S81" s="110"/>
      <c r="T81" s="34"/>
      <c r="U81" s="88"/>
      <c r="V81" s="36"/>
      <c r="W81" s="37"/>
      <c r="X81" s="36"/>
      <c r="Y81" s="38"/>
      <c r="Z81" s="39"/>
      <c r="AA81" s="39"/>
      <c r="AB81" s="39"/>
      <c r="AC81" s="39"/>
      <c r="AD81" s="39"/>
      <c r="AE81" s="36"/>
      <c r="AF81" s="40"/>
      <c r="AG81" s="89"/>
      <c r="AH81" s="41"/>
      <c r="AI81" s="41"/>
      <c r="AJ81" s="41"/>
      <c r="AK81" s="41"/>
      <c r="AL81" s="41"/>
      <c r="AM81" s="41"/>
      <c r="AN81" s="41"/>
      <c r="AO81" s="42"/>
      <c r="AP81" s="42"/>
      <c r="AQ81" s="43"/>
      <c r="AR81" s="43"/>
      <c r="AS81" s="768"/>
    </row>
    <row r="82" spans="1:45" s="1" customFormat="1" ht="24" customHeight="1" x14ac:dyDescent="0.25">
      <c r="A82" s="44"/>
      <c r="B82" s="29">
        <v>9</v>
      </c>
      <c r="C82" s="194" t="s">
        <v>186</v>
      </c>
      <c r="D82" s="86" t="s">
        <v>187</v>
      </c>
      <c r="E82" s="86"/>
      <c r="F82" s="32">
        <v>5</v>
      </c>
      <c r="G82" s="33" t="s">
        <v>157</v>
      </c>
      <c r="H82" s="34">
        <f>1050000000/1000</f>
        <v>1050000</v>
      </c>
      <c r="I82" s="88"/>
      <c r="J82" s="88"/>
      <c r="K82" s="88"/>
      <c r="L82" s="88"/>
      <c r="M82" s="88"/>
      <c r="N82" s="36"/>
      <c r="O82" s="36"/>
      <c r="P82" s="36"/>
      <c r="Q82" s="36"/>
      <c r="R82" s="36"/>
      <c r="S82" s="110"/>
      <c r="T82" s="34"/>
      <c r="U82" s="35"/>
      <c r="V82" s="36"/>
      <c r="W82" s="89"/>
      <c r="X82" s="36"/>
      <c r="Y82" s="38"/>
      <c r="Z82" s="39"/>
      <c r="AA82" s="39"/>
      <c r="AB82" s="39"/>
      <c r="AC82" s="39"/>
      <c r="AD82" s="39"/>
      <c r="AE82" s="36"/>
      <c r="AF82" s="40"/>
      <c r="AG82" s="43"/>
      <c r="AH82" s="41"/>
      <c r="AI82" s="41"/>
      <c r="AJ82" s="41"/>
      <c r="AK82" s="41"/>
      <c r="AL82" s="41"/>
      <c r="AM82" s="41"/>
      <c r="AN82" s="41"/>
      <c r="AO82" s="42"/>
      <c r="AP82" s="42"/>
      <c r="AQ82" s="43"/>
      <c r="AR82" s="43"/>
      <c r="AS82" s="768"/>
    </row>
    <row r="83" spans="1:45" s="1" customFormat="1" ht="25.5" x14ac:dyDescent="0.25">
      <c r="A83" s="44"/>
      <c r="B83" s="29">
        <v>10</v>
      </c>
      <c r="C83" s="194" t="s">
        <v>188</v>
      </c>
      <c r="D83" s="86" t="s">
        <v>189</v>
      </c>
      <c r="E83" s="86"/>
      <c r="F83" s="171">
        <v>7</v>
      </c>
      <c r="G83" s="45" t="s">
        <v>101</v>
      </c>
      <c r="H83" s="34">
        <f>350000000/1000</f>
        <v>350000</v>
      </c>
      <c r="I83" s="88"/>
      <c r="J83" s="88"/>
      <c r="K83" s="88"/>
      <c r="L83" s="88"/>
      <c r="M83" s="88"/>
      <c r="N83" s="36"/>
      <c r="O83" s="36"/>
      <c r="P83" s="36"/>
      <c r="Q83" s="36"/>
      <c r="R83" s="36"/>
      <c r="S83" s="29"/>
      <c r="T83" s="34"/>
      <c r="U83" s="88"/>
      <c r="V83" s="36"/>
      <c r="W83" s="89"/>
      <c r="X83" s="36"/>
      <c r="Y83" s="38"/>
      <c r="Z83" s="39"/>
      <c r="AA83" s="39"/>
      <c r="AB83" s="39"/>
      <c r="AC83" s="39"/>
      <c r="AD83" s="39"/>
      <c r="AE83" s="36"/>
      <c r="AF83" s="40"/>
      <c r="AG83" s="43"/>
      <c r="AH83" s="41"/>
      <c r="AI83" s="41"/>
      <c r="AJ83" s="41"/>
      <c r="AK83" s="41"/>
      <c r="AL83" s="41"/>
      <c r="AM83" s="41"/>
      <c r="AN83" s="41"/>
      <c r="AO83" s="42"/>
      <c r="AP83" s="42"/>
      <c r="AQ83" s="43"/>
      <c r="AR83" s="43"/>
      <c r="AS83" s="768"/>
    </row>
    <row r="84" spans="1:45" s="1" customFormat="1" ht="25.5" x14ac:dyDescent="0.25">
      <c r="A84" s="46"/>
      <c r="B84" s="29">
        <v>11</v>
      </c>
      <c r="C84" s="196" t="s">
        <v>190</v>
      </c>
      <c r="D84" s="90" t="s">
        <v>173</v>
      </c>
      <c r="E84" s="90"/>
      <c r="F84" s="197">
        <v>11</v>
      </c>
      <c r="G84" s="198" t="s">
        <v>101</v>
      </c>
      <c r="H84" s="51">
        <f>1100000000/1000</f>
        <v>1100000</v>
      </c>
      <c r="I84" s="93"/>
      <c r="J84" s="93"/>
      <c r="K84" s="93"/>
      <c r="L84" s="93"/>
      <c r="M84" s="93"/>
      <c r="N84" s="53"/>
      <c r="O84" s="53"/>
      <c r="P84" s="53"/>
      <c r="Q84" s="53"/>
      <c r="R84" s="53"/>
      <c r="S84" s="102"/>
      <c r="T84" s="51"/>
      <c r="U84" s="93"/>
      <c r="V84" s="53"/>
      <c r="W84" s="105"/>
      <c r="X84" s="53"/>
      <c r="Y84" s="38"/>
      <c r="Z84" s="61"/>
      <c r="AA84" s="61"/>
      <c r="AB84" s="61"/>
      <c r="AC84" s="61"/>
      <c r="AD84" s="61"/>
      <c r="AE84" s="53"/>
      <c r="AF84" s="55"/>
      <c r="AG84" s="59"/>
      <c r="AH84" s="57"/>
      <c r="AI84" s="57"/>
      <c r="AJ84" s="57"/>
      <c r="AK84" s="57"/>
      <c r="AL84" s="57"/>
      <c r="AM84" s="57"/>
      <c r="AN84" s="57"/>
      <c r="AO84" s="58"/>
      <c r="AP84" s="58"/>
      <c r="AQ84" s="59"/>
      <c r="AR84" s="59"/>
      <c r="AS84" s="769"/>
    </row>
    <row r="85" spans="1:45" s="1" customFormat="1" ht="12.75" x14ac:dyDescent="0.25">
      <c r="A85" s="755" t="s">
        <v>45</v>
      </c>
      <c r="B85" s="756"/>
      <c r="C85" s="756"/>
      <c r="D85" s="756"/>
      <c r="E85" s="756"/>
      <c r="F85" s="756"/>
      <c r="G85" s="756"/>
      <c r="H85" s="756"/>
      <c r="I85" s="756"/>
      <c r="J85" s="756"/>
      <c r="K85" s="756"/>
      <c r="L85" s="756"/>
      <c r="M85" s="756"/>
      <c r="N85" s="756"/>
      <c r="O85" s="756"/>
      <c r="P85" s="756"/>
      <c r="Q85" s="756"/>
      <c r="R85" s="756"/>
      <c r="S85" s="756"/>
      <c r="T85" s="756"/>
      <c r="U85" s="63" t="e">
        <f>U72</f>
        <v>#DIV/0!</v>
      </c>
      <c r="V85" s="64" t="e">
        <f>V72/T72*100</f>
        <v>#DIV/0!</v>
      </c>
      <c r="W85" s="65" t="e">
        <f>W72</f>
        <v>#DIV/0!</v>
      </c>
      <c r="X85" s="66" t="e">
        <f>X72/T72*100</f>
        <v>#DIV/0!</v>
      </c>
      <c r="Y85" s="65" t="e">
        <f>Y72</f>
        <v>#DIV/0!</v>
      </c>
      <c r="Z85" s="66" t="e">
        <f>Z72/T72*100</f>
        <v>#DIV/0!</v>
      </c>
      <c r="AA85" s="66"/>
      <c r="AB85" s="66"/>
      <c r="AC85" s="66"/>
      <c r="AD85" s="66"/>
      <c r="AE85" s="65" t="e">
        <f>AE72</f>
        <v>#DIV/0!</v>
      </c>
      <c r="AF85" s="66" t="e">
        <f>AF72/T72*100</f>
        <v>#DIV/0!</v>
      </c>
      <c r="AG85" s="67" t="e">
        <f>(U85+W85+Y85+AE85)</f>
        <v>#DIV/0!</v>
      </c>
      <c r="AH85" s="66" t="e">
        <f>V85+X85+Z85+AF85</f>
        <v>#DIV/0!</v>
      </c>
      <c r="AI85" s="113"/>
      <c r="AJ85" s="113"/>
      <c r="AK85" s="113"/>
      <c r="AL85" s="113"/>
      <c r="AM85" s="113"/>
      <c r="AN85" s="113"/>
      <c r="AO85" s="199"/>
      <c r="AP85" s="114"/>
      <c r="AQ85" s="115">
        <f>SUM(AQ74:AQ84)/11</f>
        <v>0</v>
      </c>
      <c r="AR85" s="115">
        <f>SUM(AR74:AR84)/11</f>
        <v>0</v>
      </c>
      <c r="AS85" s="70"/>
    </row>
    <row r="86" spans="1:45" s="1" customFormat="1" ht="12.75" x14ac:dyDescent="0.25">
      <c r="A86" s="755" t="s">
        <v>46</v>
      </c>
      <c r="B86" s="756"/>
      <c r="C86" s="756"/>
      <c r="D86" s="756"/>
      <c r="E86" s="756"/>
      <c r="F86" s="756"/>
      <c r="G86" s="756"/>
      <c r="H86" s="756"/>
      <c r="I86" s="756"/>
      <c r="J86" s="756"/>
      <c r="K86" s="756"/>
      <c r="L86" s="756"/>
      <c r="M86" s="756"/>
      <c r="N86" s="756"/>
      <c r="O86" s="756"/>
      <c r="P86" s="756"/>
      <c r="Q86" s="756"/>
      <c r="R86" s="756"/>
      <c r="S86" s="756"/>
      <c r="T86" s="756"/>
      <c r="U86" s="71"/>
      <c r="V86" s="71"/>
      <c r="W86" s="65" t="s">
        <v>51</v>
      </c>
      <c r="X86" s="65" t="s">
        <v>51</v>
      </c>
      <c r="Y86" s="65"/>
      <c r="Z86" s="65"/>
      <c r="AA86" s="65"/>
      <c r="AB86" s="65"/>
      <c r="AC86" s="65"/>
      <c r="AD86" s="65"/>
      <c r="AE86" s="65"/>
      <c r="AF86" s="65"/>
      <c r="AG86" s="65" t="s">
        <v>51</v>
      </c>
      <c r="AH86" s="65" t="s">
        <v>51</v>
      </c>
      <c r="AI86" s="65"/>
      <c r="AJ86" s="65"/>
      <c r="AK86" s="65"/>
      <c r="AL86" s="65"/>
      <c r="AM86" s="65"/>
      <c r="AN86" s="65"/>
      <c r="AO86" s="71"/>
      <c r="AP86" s="68"/>
      <c r="AQ86" s="68"/>
      <c r="AR86" s="68"/>
      <c r="AS86" s="70"/>
    </row>
    <row r="87" spans="1:45" s="1" customFormat="1" ht="15" customHeight="1" x14ac:dyDescent="0.25">
      <c r="A87" s="770">
        <v>8</v>
      </c>
      <c r="B87" s="773" t="s">
        <v>80</v>
      </c>
      <c r="C87" s="776" t="s">
        <v>191</v>
      </c>
      <c r="D87" s="200"/>
      <c r="E87" s="201"/>
      <c r="F87" s="73">
        <f>(SUM(F106:F130)/SUM(F106:F130))*100</f>
        <v>100</v>
      </c>
      <c r="G87" s="202" t="s">
        <v>50</v>
      </c>
      <c r="H87" s="75">
        <f>SUM(H106:H130)</f>
        <v>261173162.10772002</v>
      </c>
      <c r="I87" s="73" t="e">
        <f>(SUM(I106:I130)/SUM(I106:I130))*100</f>
        <v>#DIV/0!</v>
      </c>
      <c r="J87" s="73"/>
      <c r="K87" s="73"/>
      <c r="L87" s="73"/>
      <c r="M87" s="73"/>
      <c r="N87" s="75">
        <f>SUM(N106:N130)</f>
        <v>0</v>
      </c>
      <c r="O87" s="75"/>
      <c r="P87" s="75"/>
      <c r="Q87" s="75"/>
      <c r="R87" s="75"/>
      <c r="S87" s="174" t="e">
        <f>(SUM(S106:S130)/SUM(S106:S130))*100</f>
        <v>#DIV/0!</v>
      </c>
      <c r="T87" s="75">
        <f>SUM(T106:T130)</f>
        <v>0</v>
      </c>
      <c r="U87" s="73" t="e">
        <f>(SUM(U106:U130)/SUM(S106:S130))*100</f>
        <v>#DIV/0!</v>
      </c>
      <c r="V87" s="75">
        <f>SUM(V106:V130)</f>
        <v>0</v>
      </c>
      <c r="W87" s="173" t="e">
        <f>(SUM(W106:W130)/SUM(S106:S130))*100</f>
        <v>#DIV/0!</v>
      </c>
      <c r="X87" s="75">
        <f>SUM(X106:X130)</f>
        <v>0</v>
      </c>
      <c r="Y87" s="174" t="e">
        <f>(SUM(Y106:Y130)/SUM(S106:S130))*100</f>
        <v>#DIV/0!</v>
      </c>
      <c r="Z87" s="175">
        <f>SUM(Z106:Z130)</f>
        <v>0</v>
      </c>
      <c r="AA87" s="175"/>
      <c r="AB87" s="175"/>
      <c r="AC87" s="175"/>
      <c r="AD87" s="175"/>
      <c r="AE87" s="73" t="e">
        <f>(SUM(AE106:AE130)/SUM(S106:S130))*100</f>
        <v>#DIV/0!</v>
      </c>
      <c r="AF87" s="176">
        <f>SUM(AF106:AF130)</f>
        <v>0</v>
      </c>
      <c r="AG87" s="177" t="e">
        <f>U87+W87+Y87+AE87</f>
        <v>#DIV/0!</v>
      </c>
      <c r="AH87" s="75">
        <f>SUM(AH106:AH130)</f>
        <v>0</v>
      </c>
      <c r="AI87" s="203"/>
      <c r="AJ87" s="203"/>
      <c r="AK87" s="203"/>
      <c r="AL87" s="203"/>
      <c r="AM87" s="203"/>
      <c r="AN87" s="203"/>
      <c r="AO87" s="204"/>
      <c r="AP87" s="204"/>
      <c r="AQ87" s="205"/>
      <c r="AR87" s="205"/>
      <c r="AS87" s="206"/>
    </row>
    <row r="88" spans="1:45" s="1" customFormat="1" ht="15" customHeight="1" x14ac:dyDescent="0.25">
      <c r="A88" s="771"/>
      <c r="B88" s="774"/>
      <c r="C88" s="777"/>
      <c r="D88" s="207" t="s">
        <v>192</v>
      </c>
      <c r="E88" s="207"/>
      <c r="F88" s="208">
        <v>7.1</v>
      </c>
      <c r="G88" s="209" t="s">
        <v>193</v>
      </c>
      <c r="H88" s="210"/>
      <c r="I88" s="211">
        <v>6.38</v>
      </c>
      <c r="J88" s="211"/>
      <c r="K88" s="211"/>
      <c r="L88" s="211"/>
      <c r="M88" s="211"/>
      <c r="N88" s="212"/>
      <c r="O88" s="212"/>
      <c r="P88" s="212"/>
      <c r="Q88" s="212"/>
      <c r="R88" s="212"/>
      <c r="S88" s="213">
        <v>6.8</v>
      </c>
      <c r="T88" s="214"/>
      <c r="U88" s="215"/>
      <c r="V88" s="212"/>
      <c r="W88" s="216"/>
      <c r="X88" s="212"/>
      <c r="Y88" s="217"/>
      <c r="Z88" s="218"/>
      <c r="AA88" s="218"/>
      <c r="AB88" s="218"/>
      <c r="AC88" s="218"/>
      <c r="AD88" s="218"/>
      <c r="AE88" s="219"/>
      <c r="AF88" s="220"/>
      <c r="AG88" s="221"/>
      <c r="AH88" s="219"/>
      <c r="AI88" s="219"/>
      <c r="AJ88" s="219"/>
      <c r="AK88" s="219"/>
      <c r="AL88" s="219"/>
      <c r="AM88" s="219"/>
      <c r="AN88" s="219"/>
      <c r="AO88" s="222"/>
      <c r="AP88" s="222"/>
      <c r="AQ88" s="222"/>
      <c r="AR88" s="222"/>
      <c r="AS88" s="223"/>
    </row>
    <row r="89" spans="1:45" s="1" customFormat="1" ht="13.5" customHeight="1" x14ac:dyDescent="0.25">
      <c r="A89" s="771"/>
      <c r="B89" s="774"/>
      <c r="C89" s="777"/>
      <c r="D89" s="207" t="s">
        <v>11</v>
      </c>
      <c r="E89" s="207"/>
      <c r="F89" s="208">
        <v>11.4</v>
      </c>
      <c r="G89" s="209" t="s">
        <v>193</v>
      </c>
      <c r="H89" s="210"/>
      <c r="I89" s="224">
        <v>11.8</v>
      </c>
      <c r="J89" s="224"/>
      <c r="K89" s="224"/>
      <c r="L89" s="224"/>
      <c r="M89" s="224"/>
      <c r="N89" s="212"/>
      <c r="O89" s="212"/>
      <c r="P89" s="212"/>
      <c r="Q89" s="212"/>
      <c r="R89" s="212"/>
      <c r="S89" s="213">
        <v>11.36</v>
      </c>
      <c r="T89" s="214"/>
      <c r="U89" s="215"/>
      <c r="V89" s="212"/>
      <c r="W89" s="216"/>
      <c r="X89" s="212"/>
      <c r="Y89" s="217"/>
      <c r="Z89" s="218"/>
      <c r="AA89" s="218"/>
      <c r="AB89" s="218"/>
      <c r="AC89" s="218"/>
      <c r="AD89" s="218"/>
      <c r="AE89" s="219"/>
      <c r="AF89" s="220"/>
      <c r="AG89" s="221"/>
      <c r="AH89" s="219"/>
      <c r="AI89" s="219"/>
      <c r="AJ89" s="219"/>
      <c r="AK89" s="219"/>
      <c r="AL89" s="219"/>
      <c r="AM89" s="219"/>
      <c r="AN89" s="219"/>
      <c r="AO89" s="222"/>
      <c r="AP89" s="222"/>
      <c r="AQ89" s="222"/>
      <c r="AR89" s="222"/>
      <c r="AS89" s="223"/>
    </row>
    <row r="90" spans="1:45" s="1" customFormat="1" ht="12.75" x14ac:dyDescent="0.25">
      <c r="A90" s="771"/>
      <c r="B90" s="774"/>
      <c r="C90" s="777"/>
      <c r="D90" s="207" t="s">
        <v>194</v>
      </c>
      <c r="E90" s="207"/>
      <c r="F90" s="208">
        <v>97.14</v>
      </c>
      <c r="G90" s="209" t="s">
        <v>53</v>
      </c>
      <c r="H90" s="210"/>
      <c r="I90" s="224">
        <v>97.51</v>
      </c>
      <c r="J90" s="224"/>
      <c r="K90" s="224"/>
      <c r="L90" s="224"/>
      <c r="M90" s="224"/>
      <c r="N90" s="212"/>
      <c r="O90" s="212"/>
      <c r="P90" s="212"/>
      <c r="Q90" s="212"/>
      <c r="R90" s="212"/>
      <c r="S90" s="225">
        <v>0.97119999999999995</v>
      </c>
      <c r="T90" s="214"/>
      <c r="U90" s="215"/>
      <c r="V90" s="212"/>
      <c r="W90" s="216"/>
      <c r="X90" s="212"/>
      <c r="Y90" s="217"/>
      <c r="Z90" s="218"/>
      <c r="AA90" s="218"/>
      <c r="AB90" s="218"/>
      <c r="AC90" s="218"/>
      <c r="AD90" s="218"/>
      <c r="AE90" s="219"/>
      <c r="AF90" s="220"/>
      <c r="AG90" s="221"/>
      <c r="AH90" s="219"/>
      <c r="AI90" s="219"/>
      <c r="AJ90" s="219"/>
      <c r="AK90" s="219"/>
      <c r="AL90" s="219"/>
      <c r="AM90" s="219"/>
      <c r="AN90" s="219"/>
      <c r="AO90" s="222"/>
      <c r="AP90" s="222"/>
      <c r="AQ90" s="222"/>
      <c r="AR90" s="222"/>
      <c r="AS90" s="223"/>
    </row>
    <row r="91" spans="1:45" s="1" customFormat="1" ht="24" customHeight="1" x14ac:dyDescent="0.25">
      <c r="A91" s="771"/>
      <c r="B91" s="774"/>
      <c r="C91" s="777"/>
      <c r="D91" s="207" t="s">
        <v>195</v>
      </c>
      <c r="E91" s="207"/>
      <c r="F91" s="208">
        <v>84.29</v>
      </c>
      <c r="G91" s="209" t="s">
        <v>53</v>
      </c>
      <c r="H91" s="210"/>
      <c r="I91" s="224">
        <v>84.32</v>
      </c>
      <c r="J91" s="224"/>
      <c r="K91" s="224"/>
      <c r="L91" s="224"/>
      <c r="M91" s="224"/>
      <c r="N91" s="212"/>
      <c r="O91" s="212"/>
      <c r="P91" s="212"/>
      <c r="Q91" s="212"/>
      <c r="R91" s="212"/>
      <c r="S91" s="225">
        <v>0.8427</v>
      </c>
      <c r="T91" s="214"/>
      <c r="U91" s="215"/>
      <c r="V91" s="212"/>
      <c r="W91" s="216"/>
      <c r="X91" s="212"/>
      <c r="Y91" s="217"/>
      <c r="Z91" s="218"/>
      <c r="AA91" s="218"/>
      <c r="AB91" s="218"/>
      <c r="AC91" s="218"/>
      <c r="AD91" s="218"/>
      <c r="AE91" s="219"/>
      <c r="AF91" s="220"/>
      <c r="AG91" s="221"/>
      <c r="AH91" s="219"/>
      <c r="AI91" s="219"/>
      <c r="AJ91" s="219"/>
      <c r="AK91" s="219"/>
      <c r="AL91" s="219"/>
      <c r="AM91" s="219"/>
      <c r="AN91" s="219"/>
      <c r="AO91" s="222"/>
      <c r="AP91" s="222"/>
      <c r="AQ91" s="222"/>
      <c r="AR91" s="222"/>
      <c r="AS91" s="223"/>
    </row>
    <row r="92" spans="1:45" s="1" customFormat="1" ht="12.75" x14ac:dyDescent="0.25">
      <c r="A92" s="771"/>
      <c r="B92" s="774"/>
      <c r="C92" s="777"/>
      <c r="D92" s="207" t="s">
        <v>196</v>
      </c>
      <c r="E92" s="207"/>
      <c r="F92" s="208">
        <v>63.91</v>
      </c>
      <c r="G92" s="209" t="s">
        <v>53</v>
      </c>
      <c r="H92" s="210"/>
      <c r="I92" s="224">
        <v>64.08</v>
      </c>
      <c r="J92" s="224"/>
      <c r="K92" s="224"/>
      <c r="L92" s="224"/>
      <c r="M92" s="224"/>
      <c r="N92" s="212"/>
      <c r="O92" s="212"/>
      <c r="P92" s="212"/>
      <c r="Q92" s="212"/>
      <c r="R92" s="212"/>
      <c r="S92" s="225">
        <v>0.6</v>
      </c>
      <c r="T92" s="214"/>
      <c r="U92" s="215"/>
      <c r="V92" s="212"/>
      <c r="W92" s="216"/>
      <c r="X92" s="212"/>
      <c r="Y92" s="217"/>
      <c r="Z92" s="218"/>
      <c r="AA92" s="218"/>
      <c r="AB92" s="218"/>
      <c r="AC92" s="218"/>
      <c r="AD92" s="218"/>
      <c r="AE92" s="219"/>
      <c r="AF92" s="220"/>
      <c r="AG92" s="221"/>
      <c r="AH92" s="219"/>
      <c r="AI92" s="219"/>
      <c r="AJ92" s="219"/>
      <c r="AK92" s="219"/>
      <c r="AL92" s="219"/>
      <c r="AM92" s="219"/>
      <c r="AN92" s="219"/>
      <c r="AO92" s="222"/>
      <c r="AP92" s="222"/>
      <c r="AQ92" s="222"/>
      <c r="AR92" s="222"/>
      <c r="AS92" s="223"/>
    </row>
    <row r="93" spans="1:45" s="1" customFormat="1" ht="12.75" x14ac:dyDescent="0.25">
      <c r="A93" s="771"/>
      <c r="B93" s="774"/>
      <c r="C93" s="777"/>
      <c r="D93" s="207" t="s">
        <v>197</v>
      </c>
      <c r="E93" s="207"/>
      <c r="F93" s="208">
        <v>113.01</v>
      </c>
      <c r="G93" s="209" t="s">
        <v>53</v>
      </c>
      <c r="H93" s="210"/>
      <c r="I93" s="224">
        <v>111.76</v>
      </c>
      <c r="J93" s="224"/>
      <c r="K93" s="224"/>
      <c r="L93" s="224"/>
      <c r="M93" s="224"/>
      <c r="N93" s="212"/>
      <c r="O93" s="212"/>
      <c r="P93" s="212"/>
      <c r="Q93" s="212"/>
      <c r="R93" s="212"/>
      <c r="S93" s="225">
        <v>1.1296999999999999</v>
      </c>
      <c r="T93" s="214"/>
      <c r="U93" s="215"/>
      <c r="V93" s="212"/>
      <c r="W93" s="216"/>
      <c r="X93" s="212"/>
      <c r="Y93" s="217"/>
      <c r="Z93" s="218"/>
      <c r="AA93" s="218"/>
      <c r="AB93" s="218"/>
      <c r="AC93" s="218"/>
      <c r="AD93" s="218"/>
      <c r="AE93" s="219"/>
      <c r="AF93" s="220"/>
      <c r="AG93" s="221"/>
      <c r="AH93" s="219"/>
      <c r="AI93" s="219"/>
      <c r="AJ93" s="219"/>
      <c r="AK93" s="219"/>
      <c r="AL93" s="219"/>
      <c r="AM93" s="219"/>
      <c r="AN93" s="219"/>
      <c r="AO93" s="222"/>
      <c r="AP93" s="222"/>
      <c r="AQ93" s="222"/>
      <c r="AR93" s="222"/>
      <c r="AS93" s="223"/>
    </row>
    <row r="94" spans="1:45" s="1" customFormat="1" ht="24" customHeight="1" x14ac:dyDescent="0.25">
      <c r="A94" s="771"/>
      <c r="B94" s="774"/>
      <c r="C94" s="777"/>
      <c r="D94" s="207" t="s">
        <v>198</v>
      </c>
      <c r="E94" s="207"/>
      <c r="F94" s="208">
        <v>92.36</v>
      </c>
      <c r="G94" s="209" t="s">
        <v>53</v>
      </c>
      <c r="H94" s="210"/>
      <c r="I94" s="224">
        <v>98.46</v>
      </c>
      <c r="J94" s="224"/>
      <c r="K94" s="224"/>
      <c r="L94" s="224"/>
      <c r="M94" s="224"/>
      <c r="N94" s="212"/>
      <c r="O94" s="212"/>
      <c r="P94" s="212"/>
      <c r="Q94" s="212"/>
      <c r="R94" s="212"/>
      <c r="S94" s="225">
        <v>0.92320000000000002</v>
      </c>
      <c r="T94" s="214"/>
      <c r="U94" s="215"/>
      <c r="V94" s="212"/>
      <c r="W94" s="216"/>
      <c r="X94" s="212"/>
      <c r="Y94" s="217"/>
      <c r="Z94" s="218"/>
      <c r="AA94" s="218"/>
      <c r="AB94" s="218"/>
      <c r="AC94" s="218"/>
      <c r="AD94" s="218"/>
      <c r="AE94" s="219"/>
      <c r="AF94" s="220"/>
      <c r="AG94" s="221"/>
      <c r="AH94" s="219"/>
      <c r="AI94" s="219"/>
      <c r="AJ94" s="219"/>
      <c r="AK94" s="219"/>
      <c r="AL94" s="219"/>
      <c r="AM94" s="219"/>
      <c r="AN94" s="219"/>
      <c r="AO94" s="222"/>
      <c r="AP94" s="222"/>
      <c r="AQ94" s="222"/>
      <c r="AR94" s="222"/>
      <c r="AS94" s="223"/>
    </row>
    <row r="95" spans="1:45" s="1" customFormat="1" ht="24" customHeight="1" x14ac:dyDescent="0.25">
      <c r="A95" s="771"/>
      <c r="B95" s="774"/>
      <c r="C95" s="777"/>
      <c r="D95" s="207" t="s">
        <v>199</v>
      </c>
      <c r="E95" s="207"/>
      <c r="F95" s="208">
        <v>104.48</v>
      </c>
      <c r="G95" s="209" t="s">
        <v>53</v>
      </c>
      <c r="H95" s="210"/>
      <c r="I95" s="224">
        <v>98</v>
      </c>
      <c r="J95" s="224"/>
      <c r="K95" s="224"/>
      <c r="L95" s="224"/>
      <c r="M95" s="224"/>
      <c r="N95" s="212"/>
      <c r="O95" s="212"/>
      <c r="P95" s="212"/>
      <c r="Q95" s="212"/>
      <c r="R95" s="212"/>
      <c r="S95" s="225">
        <v>1.0445</v>
      </c>
      <c r="T95" s="214"/>
      <c r="U95" s="215"/>
      <c r="V95" s="212"/>
      <c r="W95" s="216"/>
      <c r="X95" s="212"/>
      <c r="Y95" s="217"/>
      <c r="Z95" s="218"/>
      <c r="AA95" s="218"/>
      <c r="AB95" s="218"/>
      <c r="AC95" s="218"/>
      <c r="AD95" s="218"/>
      <c r="AE95" s="219"/>
      <c r="AF95" s="220"/>
      <c r="AG95" s="221"/>
      <c r="AH95" s="219"/>
      <c r="AI95" s="219"/>
      <c r="AJ95" s="219"/>
      <c r="AK95" s="219"/>
      <c r="AL95" s="219"/>
      <c r="AM95" s="219"/>
      <c r="AN95" s="219"/>
      <c r="AO95" s="222"/>
      <c r="AP95" s="222"/>
      <c r="AQ95" s="222"/>
      <c r="AR95" s="222"/>
      <c r="AS95" s="223"/>
    </row>
    <row r="96" spans="1:45" s="1" customFormat="1" ht="24" customHeight="1" x14ac:dyDescent="0.25">
      <c r="A96" s="771"/>
      <c r="B96" s="774"/>
      <c r="C96" s="777"/>
      <c r="D96" s="207" t="s">
        <v>200</v>
      </c>
      <c r="E96" s="207"/>
      <c r="F96" s="208">
        <v>84.96</v>
      </c>
      <c r="G96" s="209" t="s">
        <v>53</v>
      </c>
      <c r="H96" s="210"/>
      <c r="I96" s="224">
        <v>105</v>
      </c>
      <c r="J96" s="224"/>
      <c r="K96" s="224"/>
      <c r="L96" s="224"/>
      <c r="M96" s="224"/>
      <c r="N96" s="212"/>
      <c r="O96" s="212"/>
      <c r="P96" s="212"/>
      <c r="Q96" s="212"/>
      <c r="R96" s="212"/>
      <c r="S96" s="225">
        <v>0.84930000000000005</v>
      </c>
      <c r="T96" s="214"/>
      <c r="U96" s="215"/>
      <c r="V96" s="212"/>
      <c r="W96" s="216"/>
      <c r="X96" s="212"/>
      <c r="Y96" s="217"/>
      <c r="Z96" s="218"/>
      <c r="AA96" s="218"/>
      <c r="AB96" s="218"/>
      <c r="AC96" s="218"/>
      <c r="AD96" s="218"/>
      <c r="AE96" s="219"/>
      <c r="AF96" s="220"/>
      <c r="AG96" s="221"/>
      <c r="AH96" s="219"/>
      <c r="AI96" s="219"/>
      <c r="AJ96" s="219"/>
      <c r="AK96" s="219"/>
      <c r="AL96" s="219"/>
      <c r="AM96" s="219"/>
      <c r="AN96" s="219"/>
      <c r="AO96" s="222"/>
      <c r="AP96" s="222"/>
      <c r="AQ96" s="222"/>
      <c r="AR96" s="222"/>
      <c r="AS96" s="223"/>
    </row>
    <row r="97" spans="1:45" s="1" customFormat="1" ht="24" customHeight="1" x14ac:dyDescent="0.25">
      <c r="A97" s="771"/>
      <c r="B97" s="774"/>
      <c r="C97" s="777"/>
      <c r="D97" s="207" t="s">
        <v>201</v>
      </c>
      <c r="E97" s="207"/>
      <c r="F97" s="208">
        <v>89.3</v>
      </c>
      <c r="G97" s="209" t="s">
        <v>53</v>
      </c>
      <c r="H97" s="210"/>
      <c r="I97" s="224">
        <v>90.25</v>
      </c>
      <c r="J97" s="224"/>
      <c r="K97" s="224"/>
      <c r="L97" s="224"/>
      <c r="M97" s="224"/>
      <c r="N97" s="212"/>
      <c r="O97" s="212"/>
      <c r="P97" s="212"/>
      <c r="Q97" s="212"/>
      <c r="R97" s="212"/>
      <c r="S97" s="225">
        <v>0.89270000000000005</v>
      </c>
      <c r="T97" s="214"/>
      <c r="U97" s="215"/>
      <c r="V97" s="212"/>
      <c r="W97" s="216"/>
      <c r="X97" s="212"/>
      <c r="Y97" s="217"/>
      <c r="Z97" s="218"/>
      <c r="AA97" s="218"/>
      <c r="AB97" s="218"/>
      <c r="AC97" s="218"/>
      <c r="AD97" s="218"/>
      <c r="AE97" s="219"/>
      <c r="AF97" s="220"/>
      <c r="AG97" s="221"/>
      <c r="AH97" s="219"/>
      <c r="AI97" s="219"/>
      <c r="AJ97" s="219"/>
      <c r="AK97" s="219"/>
      <c r="AL97" s="219"/>
      <c r="AM97" s="219"/>
      <c r="AN97" s="219"/>
      <c r="AO97" s="222"/>
      <c r="AP97" s="222"/>
      <c r="AQ97" s="222"/>
      <c r="AR97" s="222"/>
      <c r="AS97" s="223"/>
    </row>
    <row r="98" spans="1:45" s="1" customFormat="1" ht="24" customHeight="1" x14ac:dyDescent="0.25">
      <c r="A98" s="771"/>
      <c r="B98" s="774"/>
      <c r="C98" s="777"/>
      <c r="D98" s="207" t="s">
        <v>202</v>
      </c>
      <c r="E98" s="207"/>
      <c r="F98" s="208">
        <v>100</v>
      </c>
      <c r="G98" s="209" t="s">
        <v>53</v>
      </c>
      <c r="H98" s="210"/>
      <c r="I98" s="224">
        <v>100</v>
      </c>
      <c r="J98" s="224"/>
      <c r="K98" s="224"/>
      <c r="L98" s="224"/>
      <c r="M98" s="224"/>
      <c r="N98" s="212"/>
      <c r="O98" s="212"/>
      <c r="P98" s="212"/>
      <c r="Q98" s="212"/>
      <c r="R98" s="212"/>
      <c r="S98" s="225">
        <v>0.98850000000000005</v>
      </c>
      <c r="T98" s="214"/>
      <c r="U98" s="215"/>
      <c r="V98" s="212"/>
      <c r="W98" s="216"/>
      <c r="X98" s="212"/>
      <c r="Y98" s="217"/>
      <c r="Z98" s="218"/>
      <c r="AA98" s="218"/>
      <c r="AB98" s="218"/>
      <c r="AC98" s="218"/>
      <c r="AD98" s="218"/>
      <c r="AE98" s="219"/>
      <c r="AF98" s="220"/>
      <c r="AG98" s="221"/>
      <c r="AH98" s="219"/>
      <c r="AI98" s="219"/>
      <c r="AJ98" s="219"/>
      <c r="AK98" s="219"/>
      <c r="AL98" s="219"/>
      <c r="AM98" s="219"/>
      <c r="AN98" s="219"/>
      <c r="AO98" s="222"/>
      <c r="AP98" s="222"/>
      <c r="AQ98" s="222"/>
      <c r="AR98" s="222"/>
      <c r="AS98" s="223"/>
    </row>
    <row r="99" spans="1:45" s="1" customFormat="1" ht="12.75" x14ac:dyDescent="0.25">
      <c r="A99" s="771"/>
      <c r="B99" s="774"/>
      <c r="C99" s="777"/>
      <c r="D99" s="207" t="s">
        <v>203</v>
      </c>
      <c r="E99" s="207"/>
      <c r="F99" s="208">
        <v>74.64</v>
      </c>
      <c r="G99" s="209" t="s">
        <v>53</v>
      </c>
      <c r="H99" s="210"/>
      <c r="I99" s="224">
        <v>72.98</v>
      </c>
      <c r="J99" s="224"/>
      <c r="K99" s="224"/>
      <c r="L99" s="224"/>
      <c r="M99" s="224"/>
      <c r="N99" s="212"/>
      <c r="O99" s="212"/>
      <c r="P99" s="212"/>
      <c r="Q99" s="212"/>
      <c r="R99" s="212"/>
      <c r="S99" s="226">
        <v>0.73</v>
      </c>
      <c r="T99" s="214"/>
      <c r="U99" s="215"/>
      <c r="V99" s="212"/>
      <c r="W99" s="216"/>
      <c r="X99" s="212"/>
      <c r="Y99" s="217"/>
      <c r="Z99" s="218"/>
      <c r="AA99" s="218"/>
      <c r="AB99" s="218"/>
      <c r="AC99" s="218"/>
      <c r="AD99" s="218"/>
      <c r="AE99" s="219"/>
      <c r="AF99" s="220"/>
      <c r="AG99" s="221"/>
      <c r="AH99" s="219"/>
      <c r="AI99" s="219"/>
      <c r="AJ99" s="219"/>
      <c r="AK99" s="219"/>
      <c r="AL99" s="219"/>
      <c r="AM99" s="219"/>
      <c r="AN99" s="219"/>
      <c r="AO99" s="222"/>
      <c r="AP99" s="222"/>
      <c r="AQ99" s="222"/>
      <c r="AR99" s="222"/>
      <c r="AS99" s="223"/>
    </row>
    <row r="100" spans="1:45" s="1" customFormat="1" ht="25.5" x14ac:dyDescent="0.25">
      <c r="A100" s="771"/>
      <c r="B100" s="774"/>
      <c r="C100" s="777"/>
      <c r="D100" s="207" t="s">
        <v>204</v>
      </c>
      <c r="E100" s="207"/>
      <c r="F100" s="208">
        <v>67.53</v>
      </c>
      <c r="G100" s="209" t="s">
        <v>53</v>
      </c>
      <c r="H100" s="210"/>
      <c r="I100" s="224">
        <v>65.510000000000005</v>
      </c>
      <c r="J100" s="224"/>
      <c r="K100" s="224"/>
      <c r="L100" s="224"/>
      <c r="M100" s="224"/>
      <c r="N100" s="212"/>
      <c r="O100" s="212"/>
      <c r="P100" s="212"/>
      <c r="Q100" s="212"/>
      <c r="R100" s="212"/>
      <c r="S100" s="225">
        <v>0.64710000000000001</v>
      </c>
      <c r="T100" s="214"/>
      <c r="U100" s="215"/>
      <c r="V100" s="212"/>
      <c r="W100" s="216"/>
      <c r="X100" s="212"/>
      <c r="Y100" s="217"/>
      <c r="Z100" s="218"/>
      <c r="AA100" s="218"/>
      <c r="AB100" s="218"/>
      <c r="AC100" s="218"/>
      <c r="AD100" s="218"/>
      <c r="AE100" s="219"/>
      <c r="AF100" s="220"/>
      <c r="AG100" s="221"/>
      <c r="AH100" s="219"/>
      <c r="AI100" s="219"/>
      <c r="AJ100" s="219"/>
      <c r="AK100" s="219"/>
      <c r="AL100" s="219"/>
      <c r="AM100" s="219"/>
      <c r="AN100" s="219"/>
      <c r="AO100" s="222"/>
      <c r="AP100" s="222"/>
      <c r="AQ100" s="222"/>
      <c r="AR100" s="222"/>
      <c r="AS100" s="223"/>
    </row>
    <row r="101" spans="1:45" s="1" customFormat="1" ht="12.75" x14ac:dyDescent="0.25">
      <c r="A101" s="771"/>
      <c r="B101" s="774"/>
      <c r="C101" s="777"/>
      <c r="D101" s="207" t="s">
        <v>12</v>
      </c>
      <c r="E101" s="207"/>
      <c r="F101" s="227">
        <v>32</v>
      </c>
      <c r="G101" s="209" t="s">
        <v>205</v>
      </c>
      <c r="H101" s="210"/>
      <c r="I101" s="217">
        <v>1</v>
      </c>
      <c r="J101" s="217"/>
      <c r="K101" s="217"/>
      <c r="L101" s="217"/>
      <c r="M101" s="217"/>
      <c r="N101" s="212"/>
      <c r="O101" s="212"/>
      <c r="P101" s="212"/>
      <c r="Q101" s="212"/>
      <c r="R101" s="212"/>
      <c r="S101" s="221">
        <v>6</v>
      </c>
      <c r="T101" s="214"/>
      <c r="U101" s="215"/>
      <c r="V101" s="212"/>
      <c r="W101" s="216"/>
      <c r="X101" s="212"/>
      <c r="Y101" s="217"/>
      <c r="Z101" s="218"/>
      <c r="AA101" s="218"/>
      <c r="AB101" s="218"/>
      <c r="AC101" s="218"/>
      <c r="AD101" s="218"/>
      <c r="AE101" s="219"/>
      <c r="AF101" s="220"/>
      <c r="AG101" s="221"/>
      <c r="AH101" s="219"/>
      <c r="AI101" s="219"/>
      <c r="AJ101" s="219"/>
      <c r="AK101" s="219"/>
      <c r="AL101" s="219"/>
      <c r="AM101" s="219"/>
      <c r="AN101" s="219"/>
      <c r="AO101" s="222"/>
      <c r="AP101" s="222"/>
      <c r="AQ101" s="222"/>
      <c r="AR101" s="222"/>
      <c r="AS101" s="223"/>
    </row>
    <row r="102" spans="1:45" s="1" customFormat="1" ht="24" customHeight="1" x14ac:dyDescent="0.25">
      <c r="A102" s="771"/>
      <c r="B102" s="774"/>
      <c r="C102" s="777"/>
      <c r="D102" s="207" t="s">
        <v>13</v>
      </c>
      <c r="E102" s="207"/>
      <c r="F102" s="227">
        <v>15</v>
      </c>
      <c r="G102" s="209" t="s">
        <v>206</v>
      </c>
      <c r="H102" s="210"/>
      <c r="I102" s="228">
        <v>1</v>
      </c>
      <c r="J102" s="228"/>
      <c r="K102" s="228"/>
      <c r="L102" s="228"/>
      <c r="M102" s="228"/>
      <c r="N102" s="212"/>
      <c r="O102" s="212"/>
      <c r="P102" s="212"/>
      <c r="Q102" s="212"/>
      <c r="R102" s="212"/>
      <c r="S102" s="221">
        <v>3</v>
      </c>
      <c r="T102" s="214"/>
      <c r="U102" s="215"/>
      <c r="V102" s="212"/>
      <c r="W102" s="216"/>
      <c r="X102" s="212"/>
      <c r="Y102" s="217"/>
      <c r="Z102" s="218"/>
      <c r="AA102" s="218"/>
      <c r="AB102" s="218"/>
      <c r="AC102" s="218"/>
      <c r="AD102" s="218"/>
      <c r="AE102" s="219"/>
      <c r="AF102" s="220"/>
      <c r="AG102" s="221"/>
      <c r="AH102" s="219"/>
      <c r="AI102" s="219"/>
      <c r="AJ102" s="219"/>
      <c r="AK102" s="219"/>
      <c r="AL102" s="219"/>
      <c r="AM102" s="219"/>
      <c r="AN102" s="219"/>
      <c r="AO102" s="222"/>
      <c r="AP102" s="222"/>
      <c r="AQ102" s="222"/>
      <c r="AR102" s="222"/>
      <c r="AS102" s="223"/>
    </row>
    <row r="103" spans="1:45" s="1" customFormat="1" ht="25.5" x14ac:dyDescent="0.25">
      <c r="A103" s="771"/>
      <c r="B103" s="774"/>
      <c r="C103" s="777"/>
      <c r="D103" s="207" t="s">
        <v>14</v>
      </c>
      <c r="E103" s="207"/>
      <c r="F103" s="227">
        <v>450</v>
      </c>
      <c r="G103" s="209" t="s">
        <v>207</v>
      </c>
      <c r="H103" s="210"/>
      <c r="I103" s="211">
        <v>100</v>
      </c>
      <c r="J103" s="211"/>
      <c r="K103" s="211"/>
      <c r="L103" s="211"/>
      <c r="M103" s="211"/>
      <c r="N103" s="212"/>
      <c r="O103" s="212"/>
      <c r="P103" s="212"/>
      <c r="Q103" s="212"/>
      <c r="R103" s="212"/>
      <c r="S103" s="229">
        <v>1</v>
      </c>
      <c r="T103" s="214"/>
      <c r="U103" s="215"/>
      <c r="V103" s="212"/>
      <c r="W103" s="216"/>
      <c r="X103" s="212"/>
      <c r="Y103" s="217"/>
      <c r="Z103" s="218"/>
      <c r="AA103" s="218"/>
      <c r="AB103" s="218"/>
      <c r="AC103" s="218"/>
      <c r="AD103" s="218"/>
      <c r="AE103" s="219"/>
      <c r="AF103" s="220"/>
      <c r="AG103" s="221"/>
      <c r="AH103" s="219"/>
      <c r="AI103" s="219"/>
      <c r="AJ103" s="219"/>
      <c r="AK103" s="219"/>
      <c r="AL103" s="219"/>
      <c r="AM103" s="219"/>
      <c r="AN103" s="219"/>
      <c r="AO103" s="222"/>
      <c r="AP103" s="222"/>
      <c r="AQ103" s="222"/>
      <c r="AR103" s="222"/>
      <c r="AS103" s="223"/>
    </row>
    <row r="104" spans="1:45" s="1" customFormat="1" ht="25.5" x14ac:dyDescent="0.25">
      <c r="A104" s="771"/>
      <c r="B104" s="774"/>
      <c r="C104" s="777"/>
      <c r="D104" s="207" t="s">
        <v>15</v>
      </c>
      <c r="E104" s="207"/>
      <c r="F104" s="208">
        <v>38.83</v>
      </c>
      <c r="G104" s="209" t="s">
        <v>53</v>
      </c>
      <c r="H104" s="210"/>
      <c r="I104" s="211">
        <v>57</v>
      </c>
      <c r="J104" s="211"/>
      <c r="K104" s="211"/>
      <c r="L104" s="211"/>
      <c r="M104" s="211"/>
      <c r="N104" s="212"/>
      <c r="O104" s="212"/>
      <c r="P104" s="212"/>
      <c r="Q104" s="212"/>
      <c r="R104" s="212"/>
      <c r="S104" s="230">
        <v>0.36890000000000001</v>
      </c>
      <c r="T104" s="214"/>
      <c r="U104" s="215"/>
      <c r="V104" s="212"/>
      <c r="W104" s="216"/>
      <c r="X104" s="212"/>
      <c r="Y104" s="217"/>
      <c r="Z104" s="218"/>
      <c r="AA104" s="218"/>
      <c r="AB104" s="218"/>
      <c r="AC104" s="218"/>
      <c r="AD104" s="218"/>
      <c r="AE104" s="219"/>
      <c r="AF104" s="220"/>
      <c r="AG104" s="221"/>
      <c r="AH104" s="219"/>
      <c r="AI104" s="219"/>
      <c r="AJ104" s="219"/>
      <c r="AK104" s="219"/>
      <c r="AL104" s="219"/>
      <c r="AM104" s="219"/>
      <c r="AN104" s="219"/>
      <c r="AO104" s="222"/>
      <c r="AP104" s="222"/>
      <c r="AQ104" s="222"/>
      <c r="AR104" s="222"/>
      <c r="AS104" s="223"/>
    </row>
    <row r="105" spans="1:45" s="1" customFormat="1" ht="24" customHeight="1" x14ac:dyDescent="0.25">
      <c r="A105" s="772"/>
      <c r="B105" s="775"/>
      <c r="C105" s="778"/>
      <c r="D105" s="207" t="s">
        <v>16</v>
      </c>
      <c r="E105" s="207"/>
      <c r="F105" s="208">
        <v>57.78</v>
      </c>
      <c r="G105" s="209" t="s">
        <v>53</v>
      </c>
      <c r="H105" s="210"/>
      <c r="I105" s="211">
        <v>60</v>
      </c>
      <c r="J105" s="211"/>
      <c r="K105" s="211"/>
      <c r="L105" s="211"/>
      <c r="M105" s="211"/>
      <c r="N105" s="212"/>
      <c r="O105" s="212"/>
      <c r="P105" s="212"/>
      <c r="Q105" s="212"/>
      <c r="R105" s="212"/>
      <c r="S105" s="205">
        <v>48.89</v>
      </c>
      <c r="T105" s="214"/>
      <c r="U105" s="215"/>
      <c r="V105" s="212"/>
      <c r="W105" s="216"/>
      <c r="X105" s="212"/>
      <c r="Y105" s="217"/>
      <c r="Z105" s="218"/>
      <c r="AA105" s="218"/>
      <c r="AB105" s="218"/>
      <c r="AC105" s="218"/>
      <c r="AD105" s="218"/>
      <c r="AE105" s="219"/>
      <c r="AF105" s="220"/>
      <c r="AG105" s="221"/>
      <c r="AH105" s="219"/>
      <c r="AI105" s="219"/>
      <c r="AJ105" s="219"/>
      <c r="AK105" s="219"/>
      <c r="AL105" s="219"/>
      <c r="AM105" s="219"/>
      <c r="AN105" s="219"/>
      <c r="AO105" s="222"/>
      <c r="AP105" s="222"/>
      <c r="AQ105" s="222"/>
      <c r="AR105" s="222"/>
      <c r="AS105" s="223"/>
    </row>
    <row r="106" spans="1:45" s="172" customFormat="1" ht="24" customHeight="1" x14ac:dyDescent="0.25">
      <c r="A106" s="231"/>
      <c r="B106" s="232">
        <v>1</v>
      </c>
      <c r="C106" s="233" t="s">
        <v>208</v>
      </c>
      <c r="D106" s="234" t="s">
        <v>209</v>
      </c>
      <c r="E106" s="234"/>
      <c r="F106" s="235">
        <v>83</v>
      </c>
      <c r="G106" s="236" t="s">
        <v>135</v>
      </c>
      <c r="H106" s="237">
        <f>36015314041.21/1000</f>
        <v>36015314.041209996</v>
      </c>
      <c r="I106" s="238"/>
      <c r="J106" s="238"/>
      <c r="K106" s="238"/>
      <c r="L106" s="238"/>
      <c r="M106" s="238"/>
      <c r="N106" s="239"/>
      <c r="O106" s="239"/>
      <c r="P106" s="239"/>
      <c r="Q106" s="239"/>
      <c r="R106" s="239"/>
      <c r="S106" s="232"/>
      <c r="T106" s="237"/>
      <c r="U106" s="240"/>
      <c r="V106" s="239"/>
      <c r="W106" s="241"/>
      <c r="X106" s="239"/>
      <c r="Y106" s="242"/>
      <c r="Z106" s="243"/>
      <c r="AA106" s="243"/>
      <c r="AB106" s="243"/>
      <c r="AC106" s="243"/>
      <c r="AD106" s="243"/>
      <c r="AE106" s="239"/>
      <c r="AF106" s="244"/>
      <c r="AG106" s="245"/>
      <c r="AH106" s="246"/>
      <c r="AI106" s="246"/>
      <c r="AJ106" s="246"/>
      <c r="AK106" s="246"/>
      <c r="AL106" s="246"/>
      <c r="AM106" s="246"/>
      <c r="AN106" s="246"/>
      <c r="AO106" s="247"/>
      <c r="AP106" s="247"/>
      <c r="AQ106" s="245"/>
      <c r="AR106" s="245"/>
      <c r="AS106" s="764"/>
    </row>
    <row r="107" spans="1:45" s="172" customFormat="1" ht="24" customHeight="1" x14ac:dyDescent="0.25">
      <c r="A107" s="248"/>
      <c r="B107" s="249">
        <v>2</v>
      </c>
      <c r="C107" s="250" t="s">
        <v>210</v>
      </c>
      <c r="D107" s="251" t="s">
        <v>211</v>
      </c>
      <c r="E107" s="251"/>
      <c r="F107" s="252">
        <v>89</v>
      </c>
      <c r="G107" s="253" t="s">
        <v>101</v>
      </c>
      <c r="H107" s="254">
        <f>17880000000/1000</f>
        <v>17880000</v>
      </c>
      <c r="I107" s="255"/>
      <c r="J107" s="255"/>
      <c r="K107" s="255"/>
      <c r="L107" s="255"/>
      <c r="M107" s="255"/>
      <c r="N107" s="256"/>
      <c r="O107" s="256"/>
      <c r="P107" s="256"/>
      <c r="Q107" s="256"/>
      <c r="R107" s="256"/>
      <c r="S107" s="249"/>
      <c r="T107" s="254"/>
      <c r="U107" s="257"/>
      <c r="V107" s="256"/>
      <c r="W107" s="241"/>
      <c r="X107" s="256"/>
      <c r="Y107" s="258"/>
      <c r="Z107" s="259"/>
      <c r="AA107" s="259"/>
      <c r="AB107" s="259"/>
      <c r="AC107" s="259"/>
      <c r="AD107" s="259"/>
      <c r="AE107" s="256"/>
      <c r="AF107" s="260"/>
      <c r="AG107" s="261"/>
      <c r="AH107" s="262"/>
      <c r="AI107" s="262"/>
      <c r="AJ107" s="262"/>
      <c r="AK107" s="262"/>
      <c r="AL107" s="262"/>
      <c r="AM107" s="262"/>
      <c r="AN107" s="262"/>
      <c r="AO107" s="263"/>
      <c r="AP107" s="263"/>
      <c r="AQ107" s="261"/>
      <c r="AR107" s="261"/>
      <c r="AS107" s="765"/>
    </row>
    <row r="108" spans="1:45" s="172" customFormat="1" ht="25.5" x14ac:dyDescent="0.25">
      <c r="A108" s="248"/>
      <c r="B108" s="249">
        <v>3</v>
      </c>
      <c r="C108" s="250" t="s">
        <v>212</v>
      </c>
      <c r="D108" s="251" t="s">
        <v>213</v>
      </c>
      <c r="E108" s="251"/>
      <c r="F108" s="252">
        <v>21</v>
      </c>
      <c r="G108" s="253" t="s">
        <v>135</v>
      </c>
      <c r="H108" s="254">
        <f>4200000000/1000</f>
        <v>4200000</v>
      </c>
      <c r="I108" s="257"/>
      <c r="J108" s="257"/>
      <c r="K108" s="257"/>
      <c r="L108" s="257"/>
      <c r="M108" s="257"/>
      <c r="N108" s="256"/>
      <c r="O108" s="256"/>
      <c r="P108" s="256"/>
      <c r="Q108" s="256"/>
      <c r="R108" s="256"/>
      <c r="S108" s="264"/>
      <c r="T108" s="254"/>
      <c r="U108" s="257"/>
      <c r="V108" s="256"/>
      <c r="W108" s="241"/>
      <c r="X108" s="256"/>
      <c r="Y108" s="258"/>
      <c r="Z108" s="259"/>
      <c r="AA108" s="259"/>
      <c r="AB108" s="259"/>
      <c r="AC108" s="259"/>
      <c r="AD108" s="259"/>
      <c r="AE108" s="256"/>
      <c r="AF108" s="260"/>
      <c r="AG108" s="261"/>
      <c r="AH108" s="262"/>
      <c r="AI108" s="262"/>
      <c r="AJ108" s="262"/>
      <c r="AK108" s="262"/>
      <c r="AL108" s="262"/>
      <c r="AM108" s="262"/>
      <c r="AN108" s="262"/>
      <c r="AO108" s="263"/>
      <c r="AP108" s="263"/>
      <c r="AQ108" s="261"/>
      <c r="AR108" s="261"/>
      <c r="AS108" s="765"/>
    </row>
    <row r="109" spans="1:45" s="172" customFormat="1" ht="25.5" x14ac:dyDescent="0.25">
      <c r="A109" s="248"/>
      <c r="B109" s="249">
        <v>4</v>
      </c>
      <c r="C109" s="250" t="s">
        <v>214</v>
      </c>
      <c r="D109" s="251" t="s">
        <v>215</v>
      </c>
      <c r="E109" s="251"/>
      <c r="F109" s="252">
        <v>93</v>
      </c>
      <c r="G109" s="253" t="s">
        <v>135</v>
      </c>
      <c r="H109" s="254">
        <f>17900000000/1000</f>
        <v>17900000</v>
      </c>
      <c r="I109" s="255"/>
      <c r="J109" s="255"/>
      <c r="K109" s="255"/>
      <c r="L109" s="255"/>
      <c r="M109" s="255"/>
      <c r="N109" s="256"/>
      <c r="O109" s="256"/>
      <c r="P109" s="256"/>
      <c r="Q109" s="256"/>
      <c r="R109" s="256"/>
      <c r="S109" s="249"/>
      <c r="T109" s="254"/>
      <c r="U109" s="255"/>
      <c r="V109" s="256"/>
      <c r="W109" s="241"/>
      <c r="X109" s="256"/>
      <c r="Y109" s="258"/>
      <c r="Z109" s="259"/>
      <c r="AA109" s="259"/>
      <c r="AB109" s="259"/>
      <c r="AC109" s="259"/>
      <c r="AD109" s="259"/>
      <c r="AE109" s="256"/>
      <c r="AF109" s="260"/>
      <c r="AG109" s="261"/>
      <c r="AH109" s="262"/>
      <c r="AI109" s="262"/>
      <c r="AJ109" s="262"/>
      <c r="AK109" s="262"/>
      <c r="AL109" s="262"/>
      <c r="AM109" s="262"/>
      <c r="AN109" s="262"/>
      <c r="AO109" s="263"/>
      <c r="AP109" s="263"/>
      <c r="AQ109" s="261"/>
      <c r="AR109" s="261"/>
      <c r="AS109" s="765"/>
    </row>
    <row r="110" spans="1:45" s="172" customFormat="1" ht="31.5" customHeight="1" x14ac:dyDescent="0.25">
      <c r="A110" s="248"/>
      <c r="B110" s="249">
        <v>5</v>
      </c>
      <c r="C110" s="250" t="s">
        <v>216</v>
      </c>
      <c r="D110" s="251" t="s">
        <v>217</v>
      </c>
      <c r="E110" s="251"/>
      <c r="F110" s="252">
        <v>138</v>
      </c>
      <c r="G110" s="253" t="s">
        <v>135</v>
      </c>
      <c r="H110" s="254">
        <f>11140000000/1000</f>
        <v>11140000</v>
      </c>
      <c r="I110" s="265"/>
      <c r="J110" s="265"/>
      <c r="K110" s="265"/>
      <c r="L110" s="265"/>
      <c r="M110" s="265"/>
      <c r="N110" s="256"/>
      <c r="O110" s="256"/>
      <c r="P110" s="256"/>
      <c r="Q110" s="256"/>
      <c r="R110" s="256"/>
      <c r="S110" s="249"/>
      <c r="T110" s="254"/>
      <c r="U110" s="257"/>
      <c r="V110" s="256"/>
      <c r="W110" s="241"/>
      <c r="X110" s="256"/>
      <c r="Y110" s="258"/>
      <c r="Z110" s="259"/>
      <c r="AA110" s="259"/>
      <c r="AB110" s="259"/>
      <c r="AC110" s="259"/>
      <c r="AD110" s="259"/>
      <c r="AE110" s="256"/>
      <c r="AF110" s="260"/>
      <c r="AG110" s="261"/>
      <c r="AH110" s="262"/>
      <c r="AI110" s="262"/>
      <c r="AJ110" s="262"/>
      <c r="AK110" s="262"/>
      <c r="AL110" s="262"/>
      <c r="AM110" s="262"/>
      <c r="AN110" s="262"/>
      <c r="AO110" s="263"/>
      <c r="AP110" s="263"/>
      <c r="AQ110" s="261"/>
      <c r="AR110" s="261"/>
      <c r="AS110" s="765"/>
    </row>
    <row r="111" spans="1:45" s="172" customFormat="1" ht="24" customHeight="1" x14ac:dyDescent="0.25">
      <c r="A111" s="248"/>
      <c r="B111" s="249">
        <v>6</v>
      </c>
      <c r="C111" s="250" t="s">
        <v>218</v>
      </c>
      <c r="D111" s="251" t="s">
        <v>219</v>
      </c>
      <c r="E111" s="251"/>
      <c r="F111" s="252">
        <v>100</v>
      </c>
      <c r="G111" s="253" t="s">
        <v>101</v>
      </c>
      <c r="H111" s="254">
        <f>5000000000/1000</f>
        <v>5000000</v>
      </c>
      <c r="I111" s="257"/>
      <c r="J111" s="257"/>
      <c r="K111" s="257"/>
      <c r="L111" s="257"/>
      <c r="M111" s="257"/>
      <c r="N111" s="256"/>
      <c r="O111" s="256"/>
      <c r="P111" s="256"/>
      <c r="Q111" s="256"/>
      <c r="R111" s="256"/>
      <c r="S111" s="257"/>
      <c r="T111" s="254"/>
      <c r="U111" s="257"/>
      <c r="V111" s="256"/>
      <c r="W111" s="241"/>
      <c r="X111" s="256"/>
      <c r="Y111" s="258"/>
      <c r="Z111" s="259"/>
      <c r="AA111" s="259"/>
      <c r="AB111" s="259"/>
      <c r="AC111" s="259"/>
      <c r="AD111" s="259"/>
      <c r="AE111" s="256"/>
      <c r="AF111" s="260"/>
      <c r="AG111" s="261"/>
      <c r="AH111" s="262"/>
      <c r="AI111" s="262"/>
      <c r="AJ111" s="262"/>
      <c r="AK111" s="262"/>
      <c r="AL111" s="262"/>
      <c r="AM111" s="262"/>
      <c r="AN111" s="262"/>
      <c r="AO111" s="263"/>
      <c r="AP111" s="263"/>
      <c r="AQ111" s="261"/>
      <c r="AR111" s="261"/>
      <c r="AS111" s="765"/>
    </row>
    <row r="112" spans="1:45" s="172" customFormat="1" ht="25.5" x14ac:dyDescent="0.25">
      <c r="A112" s="248"/>
      <c r="B112" s="249">
        <v>7</v>
      </c>
      <c r="C112" s="250" t="s">
        <v>220</v>
      </c>
      <c r="D112" s="251" t="s">
        <v>221</v>
      </c>
      <c r="E112" s="251"/>
      <c r="F112" s="252">
        <v>0</v>
      </c>
      <c r="G112" s="253">
        <v>0</v>
      </c>
      <c r="H112" s="254">
        <v>0</v>
      </c>
      <c r="I112" s="257"/>
      <c r="J112" s="257"/>
      <c r="K112" s="257"/>
      <c r="L112" s="257"/>
      <c r="M112" s="257"/>
      <c r="N112" s="256"/>
      <c r="O112" s="256"/>
      <c r="P112" s="256"/>
      <c r="Q112" s="256"/>
      <c r="R112" s="256"/>
      <c r="S112" s="257"/>
      <c r="T112" s="254"/>
      <c r="U112" s="257"/>
      <c r="V112" s="256"/>
      <c r="W112" s="241"/>
      <c r="X112" s="256"/>
      <c r="Y112" s="258"/>
      <c r="Z112" s="259"/>
      <c r="AA112" s="259"/>
      <c r="AB112" s="259"/>
      <c r="AC112" s="259"/>
      <c r="AD112" s="259"/>
      <c r="AE112" s="256"/>
      <c r="AF112" s="260"/>
      <c r="AG112" s="261"/>
      <c r="AH112" s="262"/>
      <c r="AI112" s="262"/>
      <c r="AJ112" s="262"/>
      <c r="AK112" s="262"/>
      <c r="AL112" s="262"/>
      <c r="AM112" s="262"/>
      <c r="AN112" s="262"/>
      <c r="AO112" s="263"/>
      <c r="AP112" s="263"/>
      <c r="AQ112" s="261"/>
      <c r="AR112" s="261"/>
      <c r="AS112" s="765"/>
    </row>
    <row r="113" spans="1:45" s="172" customFormat="1" ht="25.5" x14ac:dyDescent="0.25">
      <c r="A113" s="248"/>
      <c r="B113" s="249">
        <v>8</v>
      </c>
      <c r="C113" s="250" t="s">
        <v>222</v>
      </c>
      <c r="D113" s="251" t="s">
        <v>223</v>
      </c>
      <c r="E113" s="251"/>
      <c r="F113" s="252">
        <v>393</v>
      </c>
      <c r="G113" s="253" t="s">
        <v>207</v>
      </c>
      <c r="H113" s="254">
        <f>25980000000/1000</f>
        <v>25980000</v>
      </c>
      <c r="I113" s="255"/>
      <c r="J113" s="255"/>
      <c r="K113" s="255"/>
      <c r="L113" s="255"/>
      <c r="M113" s="255"/>
      <c r="N113" s="256"/>
      <c r="O113" s="256"/>
      <c r="P113" s="256"/>
      <c r="Q113" s="256"/>
      <c r="R113" s="256"/>
      <c r="S113" s="249"/>
      <c r="T113" s="254"/>
      <c r="U113" s="257"/>
      <c r="V113" s="256"/>
      <c r="W113" s="241"/>
      <c r="X113" s="256"/>
      <c r="Y113" s="258"/>
      <c r="Z113" s="259"/>
      <c r="AA113" s="259"/>
      <c r="AB113" s="259"/>
      <c r="AC113" s="259"/>
      <c r="AD113" s="259"/>
      <c r="AE113" s="256"/>
      <c r="AF113" s="260"/>
      <c r="AG113" s="261"/>
      <c r="AH113" s="262"/>
      <c r="AI113" s="262"/>
      <c r="AJ113" s="262"/>
      <c r="AK113" s="262"/>
      <c r="AL113" s="262"/>
      <c r="AM113" s="262"/>
      <c r="AN113" s="262"/>
      <c r="AO113" s="263"/>
      <c r="AP113" s="263"/>
      <c r="AQ113" s="261"/>
      <c r="AR113" s="261"/>
      <c r="AS113" s="765"/>
    </row>
    <row r="114" spans="1:45" s="172" customFormat="1" ht="24" customHeight="1" x14ac:dyDescent="0.25">
      <c r="A114" s="248"/>
      <c r="B114" s="249">
        <v>9</v>
      </c>
      <c r="C114" s="250" t="s">
        <v>224</v>
      </c>
      <c r="D114" s="251" t="s">
        <v>225</v>
      </c>
      <c r="E114" s="251"/>
      <c r="F114" s="252">
        <v>135</v>
      </c>
      <c r="G114" s="253" t="s">
        <v>135</v>
      </c>
      <c r="H114" s="254">
        <f>33800000000/1000</f>
        <v>33800000</v>
      </c>
      <c r="I114" s="255"/>
      <c r="J114" s="255"/>
      <c r="K114" s="255"/>
      <c r="L114" s="255"/>
      <c r="M114" s="255"/>
      <c r="N114" s="256"/>
      <c r="O114" s="256"/>
      <c r="P114" s="256"/>
      <c r="Q114" s="256"/>
      <c r="R114" s="256"/>
      <c r="S114" s="249"/>
      <c r="T114" s="254"/>
      <c r="U114" s="255"/>
      <c r="V114" s="256"/>
      <c r="W114" s="241"/>
      <c r="X114" s="256"/>
      <c r="Y114" s="258"/>
      <c r="Z114" s="259"/>
      <c r="AA114" s="259"/>
      <c r="AB114" s="259"/>
      <c r="AC114" s="259"/>
      <c r="AD114" s="259"/>
      <c r="AE114" s="256"/>
      <c r="AF114" s="260"/>
      <c r="AG114" s="261"/>
      <c r="AH114" s="262"/>
      <c r="AI114" s="262"/>
      <c r="AJ114" s="262"/>
      <c r="AK114" s="262"/>
      <c r="AL114" s="262"/>
      <c r="AM114" s="262"/>
      <c r="AN114" s="262"/>
      <c r="AO114" s="263"/>
      <c r="AP114" s="263"/>
      <c r="AQ114" s="261"/>
      <c r="AR114" s="261"/>
      <c r="AS114" s="765"/>
    </row>
    <row r="115" spans="1:45" s="172" customFormat="1" ht="24" customHeight="1" x14ac:dyDescent="0.25">
      <c r="A115" s="248"/>
      <c r="B115" s="249">
        <v>10</v>
      </c>
      <c r="C115" s="250" t="s">
        <v>226</v>
      </c>
      <c r="D115" s="251" t="s">
        <v>227</v>
      </c>
      <c r="E115" s="251"/>
      <c r="F115" s="252">
        <v>139</v>
      </c>
      <c r="G115" s="253" t="s">
        <v>135</v>
      </c>
      <c r="H115" s="254">
        <f>27364415521.03/1000</f>
        <v>27364415.521029998</v>
      </c>
      <c r="I115" s="255"/>
      <c r="J115" s="255"/>
      <c r="K115" s="255"/>
      <c r="L115" s="255"/>
      <c r="M115" s="255"/>
      <c r="N115" s="256"/>
      <c r="O115" s="256"/>
      <c r="P115" s="256"/>
      <c r="Q115" s="256"/>
      <c r="R115" s="256"/>
      <c r="S115" s="249"/>
      <c r="T115" s="254"/>
      <c r="U115" s="257"/>
      <c r="V115" s="256"/>
      <c r="W115" s="241"/>
      <c r="X115" s="256"/>
      <c r="Y115" s="258"/>
      <c r="Z115" s="259"/>
      <c r="AA115" s="259"/>
      <c r="AB115" s="259"/>
      <c r="AC115" s="259"/>
      <c r="AD115" s="259"/>
      <c r="AE115" s="256"/>
      <c r="AF115" s="260"/>
      <c r="AG115" s="261"/>
      <c r="AH115" s="262"/>
      <c r="AI115" s="262"/>
      <c r="AJ115" s="262"/>
      <c r="AK115" s="262"/>
      <c r="AL115" s="262"/>
      <c r="AM115" s="262"/>
      <c r="AN115" s="262"/>
      <c r="AO115" s="263"/>
      <c r="AP115" s="263"/>
      <c r="AQ115" s="261"/>
      <c r="AR115" s="261"/>
      <c r="AS115" s="765"/>
    </row>
    <row r="116" spans="1:45" s="172" customFormat="1" ht="24" customHeight="1" x14ac:dyDescent="0.25">
      <c r="A116" s="248"/>
      <c r="B116" s="249"/>
      <c r="C116" s="250" t="s">
        <v>228</v>
      </c>
      <c r="D116" s="251" t="s">
        <v>229</v>
      </c>
      <c r="E116" s="251"/>
      <c r="F116" s="252"/>
      <c r="G116" s="253"/>
      <c r="H116" s="254"/>
      <c r="I116" s="255"/>
      <c r="J116" s="255"/>
      <c r="K116" s="255"/>
      <c r="L116" s="255"/>
      <c r="M116" s="255"/>
      <c r="N116" s="256"/>
      <c r="O116" s="256"/>
      <c r="P116" s="256"/>
      <c r="Q116" s="256"/>
      <c r="R116" s="256"/>
      <c r="S116" s="249"/>
      <c r="T116" s="254"/>
      <c r="U116" s="257"/>
      <c r="V116" s="256"/>
      <c r="W116" s="241"/>
      <c r="X116" s="256"/>
      <c r="Y116" s="258"/>
      <c r="Z116" s="259"/>
      <c r="AA116" s="259"/>
      <c r="AB116" s="259"/>
      <c r="AC116" s="259"/>
      <c r="AD116" s="259"/>
      <c r="AE116" s="256"/>
      <c r="AF116" s="260"/>
      <c r="AG116" s="261"/>
      <c r="AH116" s="262"/>
      <c r="AI116" s="262"/>
      <c r="AJ116" s="262"/>
      <c r="AK116" s="262"/>
      <c r="AL116" s="262"/>
      <c r="AM116" s="262"/>
      <c r="AN116" s="262"/>
      <c r="AO116" s="263"/>
      <c r="AP116" s="263"/>
      <c r="AQ116" s="261"/>
      <c r="AR116" s="261"/>
      <c r="AS116" s="765"/>
    </row>
    <row r="117" spans="1:45" s="172" customFormat="1" ht="25.5" x14ac:dyDescent="0.25">
      <c r="A117" s="248"/>
      <c r="B117" s="249">
        <v>11</v>
      </c>
      <c r="C117" s="250" t="s">
        <v>230</v>
      </c>
      <c r="D117" s="251" t="s">
        <v>231</v>
      </c>
      <c r="E117" s="251"/>
      <c r="F117" s="266">
        <v>5</v>
      </c>
      <c r="G117" s="267" t="s">
        <v>157</v>
      </c>
      <c r="H117" s="254">
        <f>1910000000/1000</f>
        <v>1910000</v>
      </c>
      <c r="I117" s="255"/>
      <c r="J117" s="255"/>
      <c r="K117" s="255"/>
      <c r="L117" s="255"/>
      <c r="M117" s="255"/>
      <c r="N117" s="256"/>
      <c r="O117" s="256"/>
      <c r="P117" s="256"/>
      <c r="Q117" s="256"/>
      <c r="R117" s="256"/>
      <c r="S117" s="257"/>
      <c r="T117" s="254"/>
      <c r="U117" s="257"/>
      <c r="V117" s="256"/>
      <c r="W117" s="241"/>
      <c r="X117" s="256"/>
      <c r="Y117" s="258"/>
      <c r="Z117" s="259"/>
      <c r="AA117" s="259"/>
      <c r="AB117" s="259"/>
      <c r="AC117" s="259"/>
      <c r="AD117" s="259"/>
      <c r="AE117" s="256"/>
      <c r="AF117" s="260"/>
      <c r="AG117" s="261"/>
      <c r="AH117" s="262"/>
      <c r="AI117" s="262"/>
      <c r="AJ117" s="262"/>
      <c r="AK117" s="262"/>
      <c r="AL117" s="262"/>
      <c r="AM117" s="262"/>
      <c r="AN117" s="262"/>
      <c r="AO117" s="263"/>
      <c r="AP117" s="263"/>
      <c r="AQ117" s="261"/>
      <c r="AR117" s="261"/>
      <c r="AS117" s="765"/>
    </row>
    <row r="118" spans="1:45" s="172" customFormat="1" ht="25.5" x14ac:dyDescent="0.25">
      <c r="A118" s="248"/>
      <c r="B118" s="249">
        <v>12</v>
      </c>
      <c r="C118" s="250" t="s">
        <v>232</v>
      </c>
      <c r="D118" s="251" t="s">
        <v>233</v>
      </c>
      <c r="E118" s="251"/>
      <c r="F118" s="266">
        <v>60</v>
      </c>
      <c r="G118" s="267" t="s">
        <v>84</v>
      </c>
      <c r="H118" s="254">
        <f>14960530545.48/1000</f>
        <v>14960530.54548</v>
      </c>
      <c r="I118" s="255"/>
      <c r="J118" s="255"/>
      <c r="K118" s="255"/>
      <c r="L118" s="255"/>
      <c r="M118" s="255"/>
      <c r="N118" s="256"/>
      <c r="O118" s="256"/>
      <c r="P118" s="256"/>
      <c r="Q118" s="256"/>
      <c r="R118" s="256"/>
      <c r="S118" s="268"/>
      <c r="T118" s="254"/>
      <c r="U118" s="257"/>
      <c r="V118" s="256"/>
      <c r="W118" s="241"/>
      <c r="X118" s="256"/>
      <c r="Y118" s="258"/>
      <c r="Z118" s="259"/>
      <c r="AA118" s="259"/>
      <c r="AB118" s="259"/>
      <c r="AC118" s="259"/>
      <c r="AD118" s="259"/>
      <c r="AE118" s="256"/>
      <c r="AF118" s="260"/>
      <c r="AG118" s="261"/>
      <c r="AH118" s="262"/>
      <c r="AI118" s="262"/>
      <c r="AJ118" s="262"/>
      <c r="AK118" s="262"/>
      <c r="AL118" s="262"/>
      <c r="AM118" s="262"/>
      <c r="AN118" s="262"/>
      <c r="AO118" s="263"/>
      <c r="AP118" s="263"/>
      <c r="AQ118" s="261"/>
      <c r="AR118" s="261"/>
      <c r="AS118" s="765"/>
    </row>
    <row r="119" spans="1:45" s="172" customFormat="1" ht="24" customHeight="1" x14ac:dyDescent="0.25">
      <c r="A119" s="248"/>
      <c r="B119" s="249">
        <v>13</v>
      </c>
      <c r="C119" s="250" t="s">
        <v>234</v>
      </c>
      <c r="D119" s="251" t="s">
        <v>235</v>
      </c>
      <c r="E119" s="251"/>
      <c r="F119" s="266">
        <v>100</v>
      </c>
      <c r="G119" s="253" t="s">
        <v>101</v>
      </c>
      <c r="H119" s="254">
        <f>2500000000/1000</f>
        <v>2500000</v>
      </c>
      <c r="I119" s="257"/>
      <c r="J119" s="257"/>
      <c r="K119" s="257"/>
      <c r="L119" s="257"/>
      <c r="M119" s="257"/>
      <c r="N119" s="256"/>
      <c r="O119" s="256"/>
      <c r="P119" s="256"/>
      <c r="Q119" s="256"/>
      <c r="R119" s="256"/>
      <c r="S119" s="257"/>
      <c r="T119" s="254"/>
      <c r="U119" s="257"/>
      <c r="V119" s="256"/>
      <c r="W119" s="241"/>
      <c r="X119" s="256"/>
      <c r="Y119" s="258"/>
      <c r="Z119" s="259"/>
      <c r="AA119" s="259"/>
      <c r="AB119" s="259"/>
      <c r="AC119" s="259"/>
      <c r="AD119" s="259"/>
      <c r="AE119" s="256"/>
      <c r="AF119" s="260"/>
      <c r="AG119" s="261"/>
      <c r="AH119" s="262"/>
      <c r="AI119" s="262"/>
      <c r="AJ119" s="262"/>
      <c r="AK119" s="262"/>
      <c r="AL119" s="262"/>
      <c r="AM119" s="262"/>
      <c r="AN119" s="262"/>
      <c r="AO119" s="263"/>
      <c r="AP119" s="263"/>
      <c r="AQ119" s="261"/>
      <c r="AR119" s="261"/>
      <c r="AS119" s="765"/>
    </row>
    <row r="120" spans="1:45" s="172" customFormat="1" ht="12.75" x14ac:dyDescent="0.25">
      <c r="A120" s="248"/>
      <c r="B120" s="249">
        <v>14</v>
      </c>
      <c r="C120" s="250" t="s">
        <v>236</v>
      </c>
      <c r="D120" s="251" t="s">
        <v>237</v>
      </c>
      <c r="E120" s="251"/>
      <c r="F120" s="266">
        <v>5</v>
      </c>
      <c r="G120" s="267" t="s">
        <v>157</v>
      </c>
      <c r="H120" s="254">
        <f>4726030000/1000</f>
        <v>4726030</v>
      </c>
      <c r="I120" s="255"/>
      <c r="J120" s="255"/>
      <c r="K120" s="255"/>
      <c r="L120" s="255"/>
      <c r="M120" s="255"/>
      <c r="N120" s="256"/>
      <c r="O120" s="256"/>
      <c r="P120" s="256"/>
      <c r="Q120" s="256"/>
      <c r="R120" s="256"/>
      <c r="S120" s="268"/>
      <c r="T120" s="254"/>
      <c r="U120" s="257"/>
      <c r="V120" s="256"/>
      <c r="W120" s="241"/>
      <c r="X120" s="256"/>
      <c r="Y120" s="258"/>
      <c r="Z120" s="259"/>
      <c r="AA120" s="259"/>
      <c r="AB120" s="259"/>
      <c r="AC120" s="259"/>
      <c r="AD120" s="259"/>
      <c r="AE120" s="256"/>
      <c r="AF120" s="260"/>
      <c r="AG120" s="261"/>
      <c r="AH120" s="262"/>
      <c r="AI120" s="262"/>
      <c r="AJ120" s="262"/>
      <c r="AK120" s="262"/>
      <c r="AL120" s="262"/>
      <c r="AM120" s="262"/>
      <c r="AN120" s="262"/>
      <c r="AO120" s="263"/>
      <c r="AP120" s="263"/>
      <c r="AQ120" s="261"/>
      <c r="AR120" s="261"/>
      <c r="AS120" s="765"/>
    </row>
    <row r="121" spans="1:45" s="172" customFormat="1" ht="25.5" x14ac:dyDescent="0.25">
      <c r="A121" s="248"/>
      <c r="B121" s="249">
        <v>15</v>
      </c>
      <c r="C121" s="250" t="s">
        <v>238</v>
      </c>
      <c r="D121" s="251" t="s">
        <v>239</v>
      </c>
      <c r="E121" s="251"/>
      <c r="F121" s="266">
        <v>5</v>
      </c>
      <c r="G121" s="267" t="s">
        <v>157</v>
      </c>
      <c r="H121" s="254">
        <f>575000000/1000</f>
        <v>575000</v>
      </c>
      <c r="I121" s="257"/>
      <c r="J121" s="257"/>
      <c r="K121" s="257"/>
      <c r="L121" s="257"/>
      <c r="M121" s="257"/>
      <c r="N121" s="256"/>
      <c r="O121" s="256"/>
      <c r="P121" s="256"/>
      <c r="Q121" s="256"/>
      <c r="R121" s="256"/>
      <c r="S121" s="257"/>
      <c r="T121" s="254"/>
      <c r="U121" s="257"/>
      <c r="V121" s="256"/>
      <c r="W121" s="241"/>
      <c r="X121" s="256"/>
      <c r="Y121" s="258"/>
      <c r="Z121" s="259"/>
      <c r="AA121" s="259"/>
      <c r="AB121" s="259"/>
      <c r="AC121" s="259"/>
      <c r="AD121" s="259"/>
      <c r="AE121" s="256"/>
      <c r="AF121" s="260"/>
      <c r="AG121" s="261"/>
      <c r="AH121" s="262"/>
      <c r="AI121" s="262"/>
      <c r="AJ121" s="262"/>
      <c r="AK121" s="262"/>
      <c r="AL121" s="262"/>
      <c r="AM121" s="262"/>
      <c r="AN121" s="262"/>
      <c r="AO121" s="263"/>
      <c r="AP121" s="263"/>
      <c r="AQ121" s="261"/>
      <c r="AR121" s="261"/>
      <c r="AS121" s="765"/>
    </row>
    <row r="122" spans="1:45" s="172" customFormat="1" ht="25.5" x14ac:dyDescent="0.25">
      <c r="A122" s="248"/>
      <c r="B122" s="249">
        <v>16</v>
      </c>
      <c r="C122" s="250" t="s">
        <v>240</v>
      </c>
      <c r="D122" s="251" t="s">
        <v>241</v>
      </c>
      <c r="E122" s="251"/>
      <c r="F122" s="266">
        <v>60</v>
      </c>
      <c r="G122" s="267" t="s">
        <v>84</v>
      </c>
      <c r="H122" s="254">
        <f>1248572000/1000</f>
        <v>1248572</v>
      </c>
      <c r="I122" s="255"/>
      <c r="J122" s="255"/>
      <c r="K122" s="255"/>
      <c r="L122" s="255"/>
      <c r="M122" s="255"/>
      <c r="N122" s="256"/>
      <c r="O122" s="256"/>
      <c r="P122" s="256"/>
      <c r="Q122" s="256"/>
      <c r="R122" s="256"/>
      <c r="S122" s="268"/>
      <c r="T122" s="254"/>
      <c r="U122" s="257"/>
      <c r="V122" s="256"/>
      <c r="W122" s="241"/>
      <c r="X122" s="256"/>
      <c r="Y122" s="258"/>
      <c r="Z122" s="259"/>
      <c r="AA122" s="259"/>
      <c r="AB122" s="259"/>
      <c r="AC122" s="259"/>
      <c r="AD122" s="259"/>
      <c r="AE122" s="256"/>
      <c r="AF122" s="260"/>
      <c r="AG122" s="261"/>
      <c r="AH122" s="262"/>
      <c r="AI122" s="262"/>
      <c r="AJ122" s="262"/>
      <c r="AK122" s="262"/>
      <c r="AL122" s="262"/>
      <c r="AM122" s="262"/>
      <c r="AN122" s="262"/>
      <c r="AO122" s="263"/>
      <c r="AP122" s="263"/>
      <c r="AQ122" s="261"/>
      <c r="AR122" s="261"/>
      <c r="AS122" s="765"/>
    </row>
    <row r="123" spans="1:45" s="172" customFormat="1" ht="25.5" x14ac:dyDescent="0.25">
      <c r="A123" s="248"/>
      <c r="B123" s="249">
        <v>17</v>
      </c>
      <c r="C123" s="250" t="s">
        <v>242</v>
      </c>
      <c r="D123" s="251" t="s">
        <v>243</v>
      </c>
      <c r="E123" s="251"/>
      <c r="F123" s="266">
        <v>5</v>
      </c>
      <c r="G123" s="267" t="s">
        <v>157</v>
      </c>
      <c r="H123" s="254">
        <f>444900000/1000</f>
        <v>444900</v>
      </c>
      <c r="I123" s="255"/>
      <c r="J123" s="255"/>
      <c r="K123" s="255"/>
      <c r="L123" s="255"/>
      <c r="M123" s="255"/>
      <c r="N123" s="256"/>
      <c r="O123" s="256"/>
      <c r="P123" s="256"/>
      <c r="Q123" s="256"/>
      <c r="R123" s="256"/>
      <c r="S123" s="268"/>
      <c r="T123" s="254"/>
      <c r="U123" s="257"/>
      <c r="V123" s="256"/>
      <c r="W123" s="241"/>
      <c r="X123" s="256"/>
      <c r="Y123" s="258"/>
      <c r="Z123" s="259"/>
      <c r="AA123" s="259"/>
      <c r="AB123" s="259"/>
      <c r="AC123" s="259"/>
      <c r="AD123" s="259"/>
      <c r="AE123" s="256"/>
      <c r="AF123" s="260"/>
      <c r="AG123" s="261"/>
      <c r="AH123" s="262"/>
      <c r="AI123" s="262"/>
      <c r="AJ123" s="262"/>
      <c r="AK123" s="262"/>
      <c r="AL123" s="262"/>
      <c r="AM123" s="262"/>
      <c r="AN123" s="262"/>
      <c r="AO123" s="263"/>
      <c r="AP123" s="263"/>
      <c r="AQ123" s="261"/>
      <c r="AR123" s="261"/>
      <c r="AS123" s="765"/>
    </row>
    <row r="124" spans="1:45" s="172" customFormat="1" ht="25.5" x14ac:dyDescent="0.25">
      <c r="A124" s="248"/>
      <c r="B124" s="249">
        <v>18</v>
      </c>
      <c r="C124" s="250" t="s">
        <v>244</v>
      </c>
      <c r="D124" s="251" t="s">
        <v>245</v>
      </c>
      <c r="E124" s="251"/>
      <c r="F124" s="252">
        <v>271</v>
      </c>
      <c r="G124" s="253" t="s">
        <v>101</v>
      </c>
      <c r="H124" s="254">
        <f>13550000000/1000</f>
        <v>13550000</v>
      </c>
      <c r="I124" s="255"/>
      <c r="J124" s="255"/>
      <c r="K124" s="255"/>
      <c r="L124" s="255"/>
      <c r="M124" s="255"/>
      <c r="N124" s="256"/>
      <c r="O124" s="256"/>
      <c r="P124" s="256"/>
      <c r="Q124" s="256"/>
      <c r="R124" s="256"/>
      <c r="S124" s="249"/>
      <c r="T124" s="254"/>
      <c r="U124" s="257"/>
      <c r="V124" s="256"/>
      <c r="W124" s="241"/>
      <c r="X124" s="256"/>
      <c r="Y124" s="258"/>
      <c r="Z124" s="259"/>
      <c r="AA124" s="259"/>
      <c r="AB124" s="259"/>
      <c r="AC124" s="259"/>
      <c r="AD124" s="259"/>
      <c r="AE124" s="256"/>
      <c r="AF124" s="260"/>
      <c r="AG124" s="261"/>
      <c r="AH124" s="262"/>
      <c r="AI124" s="262"/>
      <c r="AJ124" s="262"/>
      <c r="AK124" s="262"/>
      <c r="AL124" s="262"/>
      <c r="AM124" s="262"/>
      <c r="AN124" s="262"/>
      <c r="AO124" s="263"/>
      <c r="AP124" s="263"/>
      <c r="AQ124" s="261"/>
      <c r="AR124" s="261"/>
      <c r="AS124" s="765"/>
    </row>
    <row r="125" spans="1:45" s="172" customFormat="1" ht="25.5" x14ac:dyDescent="0.25">
      <c r="A125" s="248"/>
      <c r="B125" s="249">
        <v>19</v>
      </c>
      <c r="C125" s="250" t="s">
        <v>246</v>
      </c>
      <c r="D125" s="251" t="s">
        <v>247</v>
      </c>
      <c r="E125" s="251"/>
      <c r="F125" s="252">
        <v>192</v>
      </c>
      <c r="G125" s="253" t="s">
        <v>101</v>
      </c>
      <c r="H125" s="254">
        <f>3840000000/1000</f>
        <v>3840000</v>
      </c>
      <c r="I125" s="255"/>
      <c r="J125" s="255"/>
      <c r="K125" s="255"/>
      <c r="L125" s="255"/>
      <c r="M125" s="255"/>
      <c r="N125" s="269"/>
      <c r="O125" s="269"/>
      <c r="P125" s="269"/>
      <c r="Q125" s="269"/>
      <c r="R125" s="269"/>
      <c r="S125" s="257"/>
      <c r="T125" s="254"/>
      <c r="U125" s="257"/>
      <c r="V125" s="256"/>
      <c r="W125" s="241"/>
      <c r="X125" s="256"/>
      <c r="Y125" s="258"/>
      <c r="Z125" s="259"/>
      <c r="AA125" s="259"/>
      <c r="AB125" s="259"/>
      <c r="AC125" s="259"/>
      <c r="AD125" s="259"/>
      <c r="AE125" s="256"/>
      <c r="AF125" s="260"/>
      <c r="AG125" s="261"/>
      <c r="AH125" s="262"/>
      <c r="AI125" s="262"/>
      <c r="AJ125" s="262"/>
      <c r="AK125" s="262"/>
      <c r="AL125" s="262"/>
      <c r="AM125" s="262"/>
      <c r="AN125" s="262"/>
      <c r="AO125" s="263"/>
      <c r="AP125" s="263"/>
      <c r="AQ125" s="261"/>
      <c r="AR125" s="261"/>
      <c r="AS125" s="765"/>
    </row>
    <row r="126" spans="1:45" s="172" customFormat="1" ht="25.5" x14ac:dyDescent="0.25">
      <c r="A126" s="248"/>
      <c r="B126" s="249">
        <v>20</v>
      </c>
      <c r="C126" s="250" t="s">
        <v>248</v>
      </c>
      <c r="D126" s="251" t="s">
        <v>249</v>
      </c>
      <c r="E126" s="251"/>
      <c r="F126" s="252">
        <v>96</v>
      </c>
      <c r="G126" s="253" t="s">
        <v>101</v>
      </c>
      <c r="H126" s="254">
        <f>5760000000/1000</f>
        <v>5760000</v>
      </c>
      <c r="I126" s="255"/>
      <c r="J126" s="255"/>
      <c r="K126" s="255"/>
      <c r="L126" s="255"/>
      <c r="M126" s="255"/>
      <c r="N126" s="256"/>
      <c r="O126" s="256"/>
      <c r="P126" s="256"/>
      <c r="Q126" s="256"/>
      <c r="R126" s="256"/>
      <c r="S126" s="257"/>
      <c r="T126" s="254"/>
      <c r="U126" s="257"/>
      <c r="V126" s="256"/>
      <c r="W126" s="241"/>
      <c r="X126" s="256"/>
      <c r="Y126" s="258"/>
      <c r="Z126" s="259"/>
      <c r="AA126" s="259"/>
      <c r="AB126" s="259"/>
      <c r="AC126" s="259"/>
      <c r="AD126" s="259"/>
      <c r="AE126" s="256"/>
      <c r="AF126" s="260"/>
      <c r="AG126" s="261"/>
      <c r="AH126" s="262"/>
      <c r="AI126" s="262"/>
      <c r="AJ126" s="262"/>
      <c r="AK126" s="262"/>
      <c r="AL126" s="262"/>
      <c r="AM126" s="262"/>
      <c r="AN126" s="262"/>
      <c r="AO126" s="263"/>
      <c r="AP126" s="263"/>
      <c r="AQ126" s="261"/>
      <c r="AR126" s="261"/>
      <c r="AS126" s="765"/>
    </row>
    <row r="127" spans="1:45" s="172" customFormat="1" ht="12.75" x14ac:dyDescent="0.25">
      <c r="A127" s="248"/>
      <c r="B127" s="249">
        <v>21</v>
      </c>
      <c r="C127" s="250" t="s">
        <v>250</v>
      </c>
      <c r="D127" s="251" t="s">
        <v>251</v>
      </c>
      <c r="E127" s="251"/>
      <c r="F127" s="266">
        <v>5</v>
      </c>
      <c r="G127" s="267" t="s">
        <v>157</v>
      </c>
      <c r="H127" s="254">
        <f>1100000000/1000</f>
        <v>1100000</v>
      </c>
      <c r="I127" s="257"/>
      <c r="J127" s="257"/>
      <c r="K127" s="257"/>
      <c r="L127" s="257"/>
      <c r="M127" s="257"/>
      <c r="N127" s="256"/>
      <c r="O127" s="256"/>
      <c r="P127" s="256"/>
      <c r="Q127" s="256"/>
      <c r="R127" s="256"/>
      <c r="S127" s="255"/>
      <c r="T127" s="254"/>
      <c r="U127" s="257"/>
      <c r="V127" s="256"/>
      <c r="W127" s="241"/>
      <c r="X127" s="256"/>
      <c r="Y127" s="258"/>
      <c r="Z127" s="259"/>
      <c r="AA127" s="259"/>
      <c r="AB127" s="259"/>
      <c r="AC127" s="259"/>
      <c r="AD127" s="259"/>
      <c r="AE127" s="256"/>
      <c r="AF127" s="260"/>
      <c r="AG127" s="261"/>
      <c r="AH127" s="262"/>
      <c r="AI127" s="262"/>
      <c r="AJ127" s="262"/>
      <c r="AK127" s="262"/>
      <c r="AL127" s="262"/>
      <c r="AM127" s="262"/>
      <c r="AN127" s="262"/>
      <c r="AO127" s="263"/>
      <c r="AP127" s="263"/>
      <c r="AQ127" s="261"/>
      <c r="AR127" s="261"/>
      <c r="AS127" s="765"/>
    </row>
    <row r="128" spans="1:45" s="172" customFormat="1" ht="12.75" x14ac:dyDescent="0.25">
      <c r="A128" s="248"/>
      <c r="B128" s="249">
        <v>22</v>
      </c>
      <c r="C128" s="250" t="s">
        <v>252</v>
      </c>
      <c r="D128" s="251" t="s">
        <v>253</v>
      </c>
      <c r="E128" s="251"/>
      <c r="F128" s="270">
        <v>5</v>
      </c>
      <c r="G128" s="267" t="s">
        <v>157</v>
      </c>
      <c r="H128" s="254">
        <f>3350000000/1000</f>
        <v>3350000</v>
      </c>
      <c r="I128" s="257"/>
      <c r="J128" s="257"/>
      <c r="K128" s="257"/>
      <c r="L128" s="257"/>
      <c r="M128" s="257"/>
      <c r="N128" s="256"/>
      <c r="O128" s="256"/>
      <c r="P128" s="256"/>
      <c r="Q128" s="256"/>
      <c r="R128" s="256"/>
      <c r="S128" s="268"/>
      <c r="T128" s="254"/>
      <c r="U128" s="257"/>
      <c r="V128" s="256"/>
      <c r="W128" s="241"/>
      <c r="X128" s="256"/>
      <c r="Y128" s="258"/>
      <c r="Z128" s="259"/>
      <c r="AA128" s="259"/>
      <c r="AB128" s="259"/>
      <c r="AC128" s="259"/>
      <c r="AD128" s="259"/>
      <c r="AE128" s="252"/>
      <c r="AF128" s="260"/>
      <c r="AG128" s="261"/>
      <c r="AH128" s="262"/>
      <c r="AI128" s="262"/>
      <c r="AJ128" s="262"/>
      <c r="AK128" s="262"/>
      <c r="AL128" s="262"/>
      <c r="AM128" s="262"/>
      <c r="AN128" s="262"/>
      <c r="AO128" s="263"/>
      <c r="AP128" s="263"/>
      <c r="AQ128" s="261"/>
      <c r="AR128" s="261"/>
      <c r="AS128" s="765"/>
    </row>
    <row r="129" spans="1:45" s="172" customFormat="1" ht="12.75" x14ac:dyDescent="0.25">
      <c r="A129" s="248"/>
      <c r="B129" s="249">
        <v>23</v>
      </c>
      <c r="C129" s="250" t="s">
        <v>254</v>
      </c>
      <c r="D129" s="251" t="s">
        <v>255</v>
      </c>
      <c r="E129" s="251"/>
      <c r="F129" s="270">
        <v>1</v>
      </c>
      <c r="G129" s="267" t="s">
        <v>157</v>
      </c>
      <c r="H129" s="254">
        <v>7518000</v>
      </c>
      <c r="I129" s="255"/>
      <c r="J129" s="255"/>
      <c r="K129" s="255"/>
      <c r="L129" s="255"/>
      <c r="M129" s="255"/>
      <c r="N129" s="256"/>
      <c r="O129" s="256"/>
      <c r="P129" s="256"/>
      <c r="Q129" s="256"/>
      <c r="R129" s="256"/>
      <c r="S129" s="268"/>
      <c r="T129" s="254"/>
      <c r="U129" s="257"/>
      <c r="V129" s="256"/>
      <c r="W129" s="241"/>
      <c r="X129" s="256"/>
      <c r="Y129" s="258"/>
      <c r="Z129" s="259"/>
      <c r="AA129" s="259"/>
      <c r="AB129" s="259"/>
      <c r="AC129" s="259"/>
      <c r="AD129" s="259"/>
      <c r="AE129" s="252"/>
      <c r="AF129" s="260"/>
      <c r="AG129" s="261"/>
      <c r="AH129" s="262"/>
      <c r="AI129" s="262"/>
      <c r="AJ129" s="262"/>
      <c r="AK129" s="262"/>
      <c r="AL129" s="262"/>
      <c r="AM129" s="262"/>
      <c r="AN129" s="262"/>
      <c r="AO129" s="263"/>
      <c r="AP129" s="263"/>
      <c r="AQ129" s="261"/>
      <c r="AR129" s="261"/>
      <c r="AS129" s="765"/>
    </row>
    <row r="130" spans="1:45" s="172" customFormat="1" ht="12.75" x14ac:dyDescent="0.25">
      <c r="A130" s="271"/>
      <c r="B130" s="272">
        <v>24</v>
      </c>
      <c r="C130" s="273" t="s">
        <v>256</v>
      </c>
      <c r="D130" s="274" t="s">
        <v>257</v>
      </c>
      <c r="E130" s="275"/>
      <c r="F130" s="270">
        <v>1</v>
      </c>
      <c r="G130" s="267" t="s">
        <v>157</v>
      </c>
      <c r="H130" s="254">
        <v>20410400</v>
      </c>
      <c r="I130" s="255"/>
      <c r="J130" s="255"/>
      <c r="K130" s="255"/>
      <c r="L130" s="255"/>
      <c r="M130" s="255"/>
      <c r="N130" s="256"/>
      <c r="O130" s="256"/>
      <c r="P130" s="256"/>
      <c r="Q130" s="256"/>
      <c r="R130" s="256"/>
      <c r="S130" s="268"/>
      <c r="T130" s="254"/>
      <c r="U130" s="257"/>
      <c r="V130" s="256"/>
      <c r="W130" s="241"/>
      <c r="X130" s="256"/>
      <c r="Y130" s="258"/>
      <c r="Z130" s="259"/>
      <c r="AA130" s="259"/>
      <c r="AB130" s="259"/>
      <c r="AC130" s="259"/>
      <c r="AD130" s="259"/>
      <c r="AE130" s="252"/>
      <c r="AF130" s="260"/>
      <c r="AG130" s="261"/>
      <c r="AH130" s="262"/>
      <c r="AI130" s="262"/>
      <c r="AJ130" s="262"/>
      <c r="AK130" s="262"/>
      <c r="AL130" s="262"/>
      <c r="AM130" s="262"/>
      <c r="AN130" s="262"/>
      <c r="AO130" s="263"/>
      <c r="AP130" s="263"/>
      <c r="AQ130" s="261"/>
      <c r="AR130" s="261"/>
      <c r="AS130" s="766"/>
    </row>
    <row r="131" spans="1:45" s="1" customFormat="1" ht="12.75" x14ac:dyDescent="0.25">
      <c r="A131" s="755" t="s">
        <v>45</v>
      </c>
      <c r="B131" s="756"/>
      <c r="C131" s="756"/>
      <c r="D131" s="756"/>
      <c r="E131" s="756"/>
      <c r="F131" s="756"/>
      <c r="G131" s="756"/>
      <c r="H131" s="756"/>
      <c r="I131" s="756"/>
      <c r="J131" s="756"/>
      <c r="K131" s="756"/>
      <c r="L131" s="756"/>
      <c r="M131" s="756"/>
      <c r="N131" s="756"/>
      <c r="O131" s="756"/>
      <c r="P131" s="756"/>
      <c r="Q131" s="756"/>
      <c r="R131" s="756"/>
      <c r="S131" s="756"/>
      <c r="T131" s="756"/>
      <c r="U131" s="63" t="e">
        <f>U87</f>
        <v>#DIV/0!</v>
      </c>
      <c r="V131" s="63" t="e">
        <f>V87/T87*100</f>
        <v>#DIV/0!</v>
      </c>
      <c r="W131" s="95" t="e">
        <f>W87</f>
        <v>#DIV/0!</v>
      </c>
      <c r="X131" s="63" t="e">
        <f>X87/T87*100</f>
        <v>#DIV/0!</v>
      </c>
      <c r="Y131" s="95" t="e">
        <f>Y87</f>
        <v>#DIV/0!</v>
      </c>
      <c r="Z131" s="63" t="e">
        <f>Z87/T87*100</f>
        <v>#DIV/0!</v>
      </c>
      <c r="AA131" s="63"/>
      <c r="AB131" s="63"/>
      <c r="AC131" s="63"/>
      <c r="AD131" s="63"/>
      <c r="AE131" s="95" t="e">
        <f>AE87</f>
        <v>#DIV/0!</v>
      </c>
      <c r="AF131" s="63" t="e">
        <f>AF87/T87*100</f>
        <v>#DIV/0!</v>
      </c>
      <c r="AG131" s="96" t="e">
        <f>(U131+W131+Y131+AE131)</f>
        <v>#DIV/0!</v>
      </c>
      <c r="AH131" s="63" t="e">
        <f>V131+X131+Z131+AF131</f>
        <v>#DIV/0!</v>
      </c>
      <c r="AI131" s="168"/>
      <c r="AJ131" s="168"/>
      <c r="AK131" s="168"/>
      <c r="AL131" s="168"/>
      <c r="AM131" s="168"/>
      <c r="AN131" s="168"/>
      <c r="AO131" s="114"/>
      <c r="AP131" s="114"/>
      <c r="AQ131" s="115">
        <f>SUM(AQ106:AQ130)/24</f>
        <v>0</v>
      </c>
      <c r="AR131" s="115">
        <f>SUM(AR106:AR130)/24</f>
        <v>0</v>
      </c>
      <c r="AS131" s="70"/>
    </row>
    <row r="132" spans="1:45" s="1" customFormat="1" ht="12.75" x14ac:dyDescent="0.25">
      <c r="A132" s="755" t="s">
        <v>46</v>
      </c>
      <c r="B132" s="756"/>
      <c r="C132" s="756"/>
      <c r="D132" s="756"/>
      <c r="E132" s="756"/>
      <c r="F132" s="756"/>
      <c r="G132" s="756"/>
      <c r="H132" s="756"/>
      <c r="I132" s="756"/>
      <c r="J132" s="756"/>
      <c r="K132" s="756"/>
      <c r="L132" s="756"/>
      <c r="M132" s="756"/>
      <c r="N132" s="756"/>
      <c r="O132" s="756"/>
      <c r="P132" s="756"/>
      <c r="Q132" s="756"/>
      <c r="R132" s="756"/>
      <c r="S132" s="756"/>
      <c r="T132" s="756"/>
      <c r="U132" s="71"/>
      <c r="V132" s="71"/>
      <c r="W132" s="65" t="s">
        <v>51</v>
      </c>
      <c r="X132" s="71" t="s">
        <v>51</v>
      </c>
      <c r="Y132" s="67"/>
      <c r="Z132" s="71"/>
      <c r="AA132" s="71"/>
      <c r="AB132" s="71"/>
      <c r="AC132" s="71"/>
      <c r="AD132" s="71"/>
      <c r="AE132" s="71"/>
      <c r="AF132" s="72"/>
      <c r="AG132" s="67" t="s">
        <v>51</v>
      </c>
      <c r="AH132" s="71" t="s">
        <v>56</v>
      </c>
      <c r="AI132" s="71"/>
      <c r="AJ132" s="71"/>
      <c r="AK132" s="71"/>
      <c r="AL132" s="71"/>
      <c r="AM132" s="71"/>
      <c r="AN132" s="71"/>
      <c r="AO132" s="71"/>
      <c r="AP132" s="68"/>
      <c r="AQ132" s="68"/>
      <c r="AR132" s="68"/>
      <c r="AS132" s="70"/>
    </row>
    <row r="133" spans="1:45" s="1" customFormat="1" ht="14.1" customHeight="1" x14ac:dyDescent="0.25">
      <c r="A133" s="18">
        <v>9</v>
      </c>
      <c r="B133" s="19" t="s">
        <v>80</v>
      </c>
      <c r="C133" s="20" t="s">
        <v>258</v>
      </c>
      <c r="D133" s="276"/>
      <c r="E133" s="276"/>
      <c r="F133" s="73">
        <f>(SUM(F134:F142)/SUM(F134:F142))*100</f>
        <v>100</v>
      </c>
      <c r="G133" s="202" t="s">
        <v>50</v>
      </c>
      <c r="H133" s="75">
        <f>SUM(H134:H142)</f>
        <v>4666825.6500000004</v>
      </c>
      <c r="I133" s="73" t="e">
        <f>(SUM(I134:I142)/SUM(I134:I142))*100</f>
        <v>#DIV/0!</v>
      </c>
      <c r="J133" s="73"/>
      <c r="K133" s="73"/>
      <c r="L133" s="73"/>
      <c r="M133" s="73"/>
      <c r="N133" s="75">
        <f>SUM(N134:N142)</f>
        <v>0</v>
      </c>
      <c r="O133" s="75"/>
      <c r="P133" s="75"/>
      <c r="Q133" s="75"/>
      <c r="R133" s="75"/>
      <c r="S133" s="174">
        <v>0</v>
      </c>
      <c r="T133" s="75">
        <f>SUM(T134:T142)</f>
        <v>0</v>
      </c>
      <c r="U133" s="73">
        <v>0</v>
      </c>
      <c r="V133" s="75">
        <f>SUM(V134:V142)</f>
        <v>0</v>
      </c>
      <c r="W133" s="173">
        <v>0</v>
      </c>
      <c r="X133" s="75">
        <f>SUM(X134:X142)</f>
        <v>0</v>
      </c>
      <c r="Y133" s="174">
        <v>0</v>
      </c>
      <c r="Z133" s="175">
        <f>SUM(Z134:Z142)</f>
        <v>0</v>
      </c>
      <c r="AA133" s="175"/>
      <c r="AB133" s="175"/>
      <c r="AC133" s="175"/>
      <c r="AD133" s="175"/>
      <c r="AE133" s="73">
        <v>0</v>
      </c>
      <c r="AF133" s="176">
        <f>SUM(AF134:AF142)</f>
        <v>0</v>
      </c>
      <c r="AG133" s="177">
        <f t="shared" ref="AG133" si="1">U133+W133+Y133+AE133</f>
        <v>0</v>
      </c>
      <c r="AH133" s="75">
        <f>SUM(AH134:AH142)</f>
        <v>0</v>
      </c>
      <c r="AI133" s="75"/>
      <c r="AJ133" s="75"/>
      <c r="AK133" s="75"/>
      <c r="AL133" s="75"/>
      <c r="AM133" s="75"/>
      <c r="AN133" s="75"/>
      <c r="AO133" s="277"/>
      <c r="AP133" s="277"/>
      <c r="AQ133" s="278"/>
      <c r="AR133" s="278"/>
      <c r="AS133" s="279"/>
    </row>
    <row r="134" spans="1:45" s="1" customFormat="1" ht="25.5" x14ac:dyDescent="0.25">
      <c r="A134" s="44"/>
      <c r="B134" s="29">
        <v>1</v>
      </c>
      <c r="C134" s="194" t="s">
        <v>259</v>
      </c>
      <c r="D134" s="86" t="s">
        <v>260</v>
      </c>
      <c r="E134" s="86"/>
      <c r="F134" s="32">
        <v>1</v>
      </c>
      <c r="G134" s="280" t="s">
        <v>135</v>
      </c>
      <c r="H134" s="34">
        <f>14171750/1000</f>
        <v>14171.75</v>
      </c>
      <c r="I134" s="281"/>
      <c r="J134" s="281"/>
      <c r="K134" s="281"/>
      <c r="L134" s="281"/>
      <c r="M134" s="281"/>
      <c r="N134" s="36"/>
      <c r="O134" s="36"/>
      <c r="P134" s="36"/>
      <c r="Q134" s="36"/>
      <c r="R134" s="36"/>
      <c r="S134" s="29"/>
      <c r="T134" s="34"/>
      <c r="U134" s="282"/>
      <c r="V134" s="36"/>
      <c r="W134" s="89"/>
      <c r="X134" s="36"/>
      <c r="Y134" s="38"/>
      <c r="Z134" s="39"/>
      <c r="AA134" s="39"/>
      <c r="AB134" s="39"/>
      <c r="AC134" s="39"/>
      <c r="AD134" s="39"/>
      <c r="AE134" s="171"/>
      <c r="AF134" s="138"/>
      <c r="AG134" s="43"/>
      <c r="AH134" s="41"/>
      <c r="AI134" s="41"/>
      <c r="AJ134" s="41"/>
      <c r="AK134" s="41"/>
      <c r="AL134" s="41"/>
      <c r="AM134" s="41"/>
      <c r="AN134" s="41"/>
      <c r="AO134" s="42"/>
      <c r="AP134" s="42"/>
      <c r="AQ134" s="43"/>
      <c r="AR134" s="43"/>
      <c r="AS134" s="767"/>
    </row>
    <row r="135" spans="1:45" s="1" customFormat="1" ht="25.5" x14ac:dyDescent="0.25">
      <c r="A135" s="44"/>
      <c r="B135" s="29">
        <v>2</v>
      </c>
      <c r="C135" s="194" t="s">
        <v>216</v>
      </c>
      <c r="D135" s="86" t="s">
        <v>261</v>
      </c>
      <c r="E135" s="86"/>
      <c r="F135" s="32">
        <v>3</v>
      </c>
      <c r="G135" s="280" t="s">
        <v>135</v>
      </c>
      <c r="H135" s="34">
        <f>203411900/1000</f>
        <v>203411.9</v>
      </c>
      <c r="I135" s="35"/>
      <c r="J135" s="35"/>
      <c r="K135" s="35"/>
      <c r="L135" s="35"/>
      <c r="M135" s="35"/>
      <c r="N135" s="36"/>
      <c r="O135" s="36"/>
      <c r="P135" s="36"/>
      <c r="Q135" s="36"/>
      <c r="R135" s="36"/>
      <c r="S135" s="29"/>
      <c r="T135" s="34"/>
      <c r="U135" s="282"/>
      <c r="V135" s="36"/>
      <c r="W135" s="89"/>
      <c r="X135" s="36"/>
      <c r="Y135" s="38"/>
      <c r="Z135" s="39"/>
      <c r="AA135" s="39"/>
      <c r="AB135" s="39"/>
      <c r="AC135" s="39"/>
      <c r="AD135" s="39"/>
      <c r="AE135" s="171"/>
      <c r="AF135" s="138"/>
      <c r="AG135" s="43"/>
      <c r="AH135" s="41"/>
      <c r="AI135" s="41"/>
      <c r="AJ135" s="41"/>
      <c r="AK135" s="41"/>
      <c r="AL135" s="41"/>
      <c r="AM135" s="41"/>
      <c r="AN135" s="41"/>
      <c r="AO135" s="42"/>
      <c r="AP135" s="42"/>
      <c r="AQ135" s="43"/>
      <c r="AR135" s="43"/>
      <c r="AS135" s="768"/>
    </row>
    <row r="136" spans="1:45" s="1" customFormat="1" ht="20.25" customHeight="1" x14ac:dyDescent="0.25">
      <c r="A136" s="44"/>
      <c r="B136" s="29">
        <v>3</v>
      </c>
      <c r="C136" s="194" t="s">
        <v>262</v>
      </c>
      <c r="D136" s="86" t="s">
        <v>263</v>
      </c>
      <c r="E136" s="86"/>
      <c r="F136" s="32">
        <v>1</v>
      </c>
      <c r="G136" s="280" t="s">
        <v>135</v>
      </c>
      <c r="H136" s="34">
        <f>20669000/1000</f>
        <v>20669</v>
      </c>
      <c r="I136" s="281"/>
      <c r="J136" s="281"/>
      <c r="K136" s="281"/>
      <c r="L136" s="281"/>
      <c r="M136" s="281"/>
      <c r="N136" s="36"/>
      <c r="O136" s="36"/>
      <c r="P136" s="36"/>
      <c r="Q136" s="36"/>
      <c r="R136" s="36"/>
      <c r="S136" s="29"/>
      <c r="T136" s="34"/>
      <c r="U136" s="282"/>
      <c r="V136" s="36"/>
      <c r="W136" s="89"/>
      <c r="X136" s="36"/>
      <c r="Y136" s="38"/>
      <c r="Z136" s="39"/>
      <c r="AA136" s="39"/>
      <c r="AB136" s="39"/>
      <c r="AC136" s="39"/>
      <c r="AD136" s="39"/>
      <c r="AE136" s="171"/>
      <c r="AF136" s="138"/>
      <c r="AG136" s="43"/>
      <c r="AH136" s="41"/>
      <c r="AI136" s="41"/>
      <c r="AJ136" s="41"/>
      <c r="AK136" s="41"/>
      <c r="AL136" s="41"/>
      <c r="AM136" s="41"/>
      <c r="AN136" s="41"/>
      <c r="AO136" s="42"/>
      <c r="AP136" s="42"/>
      <c r="AQ136" s="43"/>
      <c r="AR136" s="43"/>
      <c r="AS136" s="768"/>
    </row>
    <row r="137" spans="1:45" s="1" customFormat="1" ht="25.5" x14ac:dyDescent="0.25">
      <c r="A137" s="44"/>
      <c r="B137" s="29">
        <v>4</v>
      </c>
      <c r="C137" s="194" t="s">
        <v>264</v>
      </c>
      <c r="D137" s="86" t="s">
        <v>265</v>
      </c>
      <c r="E137" s="86"/>
      <c r="F137" s="32">
        <v>12</v>
      </c>
      <c r="G137" s="33" t="s">
        <v>84</v>
      </c>
      <c r="H137" s="34">
        <f>2590543000/1000</f>
        <v>2590543</v>
      </c>
      <c r="I137" s="35"/>
      <c r="J137" s="35"/>
      <c r="K137" s="35"/>
      <c r="L137" s="35"/>
      <c r="M137" s="35"/>
      <c r="N137" s="36"/>
      <c r="O137" s="36"/>
      <c r="P137" s="36"/>
      <c r="Q137" s="36"/>
      <c r="R137" s="36"/>
      <c r="S137" s="29"/>
      <c r="T137" s="34"/>
      <c r="U137" s="282"/>
      <c r="V137" s="36"/>
      <c r="W137" s="89"/>
      <c r="X137" s="36"/>
      <c r="Y137" s="38"/>
      <c r="Z137" s="39"/>
      <c r="AA137" s="39"/>
      <c r="AB137" s="39"/>
      <c r="AC137" s="39"/>
      <c r="AD137" s="39"/>
      <c r="AE137" s="171"/>
      <c r="AF137" s="138"/>
      <c r="AG137" s="43"/>
      <c r="AH137" s="41"/>
      <c r="AI137" s="41"/>
      <c r="AJ137" s="41"/>
      <c r="AK137" s="41"/>
      <c r="AL137" s="41"/>
      <c r="AM137" s="41"/>
      <c r="AN137" s="41"/>
      <c r="AO137" s="42"/>
      <c r="AP137" s="42"/>
      <c r="AQ137" s="43"/>
      <c r="AR137" s="43"/>
      <c r="AS137" s="768"/>
    </row>
    <row r="138" spans="1:45" s="1" customFormat="1" ht="10.5" customHeight="1" x14ac:dyDescent="0.25">
      <c r="A138" s="44"/>
      <c r="B138" s="29">
        <v>5</v>
      </c>
      <c r="C138" s="194" t="s">
        <v>266</v>
      </c>
      <c r="D138" s="86" t="s">
        <v>267</v>
      </c>
      <c r="E138" s="86"/>
      <c r="F138" s="32">
        <v>12</v>
      </c>
      <c r="G138" s="33" t="s">
        <v>84</v>
      </c>
      <c r="H138" s="34">
        <f>543560000/1000</f>
        <v>543560</v>
      </c>
      <c r="I138" s="35"/>
      <c r="J138" s="35"/>
      <c r="K138" s="35"/>
      <c r="L138" s="35"/>
      <c r="M138" s="35"/>
      <c r="N138" s="36"/>
      <c r="O138" s="36"/>
      <c r="P138" s="36"/>
      <c r="Q138" s="36"/>
      <c r="R138" s="36"/>
      <c r="S138" s="29"/>
      <c r="T138" s="34"/>
      <c r="U138" s="282"/>
      <c r="V138" s="36"/>
      <c r="W138" s="89"/>
      <c r="X138" s="36"/>
      <c r="Y138" s="38"/>
      <c r="Z138" s="39"/>
      <c r="AA138" s="39"/>
      <c r="AB138" s="39"/>
      <c r="AC138" s="39"/>
      <c r="AD138" s="39"/>
      <c r="AE138" s="171"/>
      <c r="AF138" s="138"/>
      <c r="AG138" s="43"/>
      <c r="AH138" s="41"/>
      <c r="AI138" s="41"/>
      <c r="AJ138" s="41"/>
      <c r="AK138" s="41"/>
      <c r="AL138" s="41"/>
      <c r="AM138" s="41"/>
      <c r="AN138" s="41"/>
      <c r="AO138" s="42"/>
      <c r="AP138" s="42"/>
      <c r="AQ138" s="43"/>
      <c r="AR138" s="43"/>
      <c r="AS138" s="768"/>
    </row>
    <row r="139" spans="1:45" s="1" customFormat="1" ht="27" customHeight="1" x14ac:dyDescent="0.25">
      <c r="A139" s="44"/>
      <c r="B139" s="29">
        <v>6</v>
      </c>
      <c r="C139" s="194" t="s">
        <v>240</v>
      </c>
      <c r="D139" s="86" t="s">
        <v>268</v>
      </c>
      <c r="E139" s="86"/>
      <c r="F139" s="32">
        <v>12</v>
      </c>
      <c r="G139" s="33" t="s">
        <v>84</v>
      </c>
      <c r="H139" s="34">
        <f>545475000/1000</f>
        <v>545475</v>
      </c>
      <c r="I139" s="35"/>
      <c r="J139" s="35"/>
      <c r="K139" s="35"/>
      <c r="L139" s="35"/>
      <c r="M139" s="35"/>
      <c r="N139" s="36"/>
      <c r="O139" s="36"/>
      <c r="P139" s="36"/>
      <c r="Q139" s="36"/>
      <c r="R139" s="36"/>
      <c r="S139" s="29"/>
      <c r="T139" s="34"/>
      <c r="U139" s="282"/>
      <c r="V139" s="36"/>
      <c r="W139" s="89"/>
      <c r="X139" s="36"/>
      <c r="Y139" s="38"/>
      <c r="Z139" s="39"/>
      <c r="AA139" s="39"/>
      <c r="AB139" s="39"/>
      <c r="AC139" s="39"/>
      <c r="AD139" s="39"/>
      <c r="AE139" s="171"/>
      <c r="AF139" s="138"/>
      <c r="AG139" s="43"/>
      <c r="AH139" s="41"/>
      <c r="AI139" s="41"/>
      <c r="AJ139" s="41"/>
      <c r="AK139" s="41"/>
      <c r="AL139" s="41"/>
      <c r="AM139" s="41"/>
      <c r="AN139" s="41"/>
      <c r="AO139" s="42"/>
      <c r="AP139" s="42"/>
      <c r="AQ139" s="43"/>
      <c r="AR139" s="43"/>
      <c r="AS139" s="768"/>
    </row>
    <row r="140" spans="1:45" s="1" customFormat="1" ht="10.5" customHeight="1" x14ac:dyDescent="0.25">
      <c r="A140" s="44"/>
      <c r="B140" s="29">
        <v>7</v>
      </c>
      <c r="C140" s="194" t="s">
        <v>236</v>
      </c>
      <c r="D140" s="86" t="s">
        <v>269</v>
      </c>
      <c r="E140" s="86"/>
      <c r="F140" s="32">
        <v>1</v>
      </c>
      <c r="G140" s="280" t="s">
        <v>157</v>
      </c>
      <c r="H140" s="34">
        <f>654920000/1000</f>
        <v>654920</v>
      </c>
      <c r="I140" s="35"/>
      <c r="J140" s="35"/>
      <c r="K140" s="35"/>
      <c r="L140" s="35"/>
      <c r="M140" s="35"/>
      <c r="N140" s="36"/>
      <c r="O140" s="36"/>
      <c r="P140" s="36"/>
      <c r="Q140" s="36"/>
      <c r="R140" s="36"/>
      <c r="S140" s="29"/>
      <c r="T140" s="34"/>
      <c r="U140" s="282"/>
      <c r="V140" s="36"/>
      <c r="W140" s="89"/>
      <c r="X140" s="36"/>
      <c r="Y140" s="38"/>
      <c r="Z140" s="39"/>
      <c r="AA140" s="39"/>
      <c r="AB140" s="39"/>
      <c r="AC140" s="39"/>
      <c r="AD140" s="39"/>
      <c r="AE140" s="171"/>
      <c r="AF140" s="138"/>
      <c r="AG140" s="43"/>
      <c r="AH140" s="41"/>
      <c r="AI140" s="41"/>
      <c r="AJ140" s="41"/>
      <c r="AK140" s="41"/>
      <c r="AL140" s="41"/>
      <c r="AM140" s="41"/>
      <c r="AN140" s="41"/>
      <c r="AO140" s="42"/>
      <c r="AP140" s="42"/>
      <c r="AQ140" s="43"/>
      <c r="AR140" s="43"/>
      <c r="AS140" s="768"/>
    </row>
    <row r="141" spans="1:45" s="1" customFormat="1" ht="24" customHeight="1" x14ac:dyDescent="0.25">
      <c r="A141" s="44"/>
      <c r="B141" s="29">
        <v>8</v>
      </c>
      <c r="C141" s="194" t="s">
        <v>242</v>
      </c>
      <c r="D141" s="86" t="s">
        <v>270</v>
      </c>
      <c r="E141" s="86"/>
      <c r="F141" s="32">
        <v>1</v>
      </c>
      <c r="G141" s="280" t="s">
        <v>157</v>
      </c>
      <c r="H141" s="34">
        <f>90330000/1000</f>
        <v>90330</v>
      </c>
      <c r="I141" s="35"/>
      <c r="J141" s="35"/>
      <c r="K141" s="35"/>
      <c r="L141" s="35"/>
      <c r="M141" s="35"/>
      <c r="N141" s="36"/>
      <c r="O141" s="36"/>
      <c r="P141" s="36"/>
      <c r="Q141" s="36"/>
      <c r="R141" s="36"/>
      <c r="S141" s="29"/>
      <c r="T141" s="34"/>
      <c r="U141" s="282"/>
      <c r="V141" s="36"/>
      <c r="W141" s="89"/>
      <c r="X141" s="36"/>
      <c r="Y141" s="38"/>
      <c r="Z141" s="39"/>
      <c r="AA141" s="39"/>
      <c r="AB141" s="39"/>
      <c r="AC141" s="39"/>
      <c r="AD141" s="39"/>
      <c r="AE141" s="171"/>
      <c r="AF141" s="138"/>
      <c r="AG141" s="43"/>
      <c r="AH141" s="41"/>
      <c r="AI141" s="41"/>
      <c r="AJ141" s="41"/>
      <c r="AK141" s="41"/>
      <c r="AL141" s="41"/>
      <c r="AM141" s="41"/>
      <c r="AN141" s="41"/>
      <c r="AO141" s="42"/>
      <c r="AP141" s="42"/>
      <c r="AQ141" s="43"/>
      <c r="AR141" s="43"/>
      <c r="AS141" s="768"/>
    </row>
    <row r="142" spans="1:45" s="1" customFormat="1" ht="12" customHeight="1" x14ac:dyDescent="0.25">
      <c r="A142" s="46"/>
      <c r="B142" s="29">
        <v>9</v>
      </c>
      <c r="C142" s="196" t="s">
        <v>271</v>
      </c>
      <c r="D142" s="90" t="s">
        <v>272</v>
      </c>
      <c r="E142" s="90"/>
      <c r="F142" s="49">
        <v>1</v>
      </c>
      <c r="G142" s="283" t="s">
        <v>101</v>
      </c>
      <c r="H142" s="51">
        <f>3745000/1000</f>
        <v>3745</v>
      </c>
      <c r="I142" s="284"/>
      <c r="J142" s="284"/>
      <c r="K142" s="284"/>
      <c r="L142" s="284"/>
      <c r="M142" s="284"/>
      <c r="N142" s="53"/>
      <c r="O142" s="54"/>
      <c r="P142" s="54"/>
      <c r="Q142" s="54"/>
      <c r="R142" s="54"/>
      <c r="S142" s="29"/>
      <c r="T142" s="34"/>
      <c r="U142" s="285"/>
      <c r="V142" s="53"/>
      <c r="W142" s="105"/>
      <c r="X142" s="53"/>
      <c r="Y142" s="56"/>
      <c r="Z142" s="61"/>
      <c r="AA142" s="61"/>
      <c r="AB142" s="61"/>
      <c r="AC142" s="61"/>
      <c r="AD142" s="61"/>
      <c r="AE142" s="197"/>
      <c r="AF142" s="106"/>
      <c r="AG142" s="59"/>
      <c r="AH142" s="57"/>
      <c r="AI142" s="57"/>
      <c r="AJ142" s="57"/>
      <c r="AK142" s="57"/>
      <c r="AL142" s="57"/>
      <c r="AM142" s="57"/>
      <c r="AN142" s="57"/>
      <c r="AO142" s="58"/>
      <c r="AP142" s="58"/>
      <c r="AQ142" s="59"/>
      <c r="AR142" s="59"/>
      <c r="AS142" s="769"/>
    </row>
    <row r="143" spans="1:45" s="1" customFormat="1" ht="11.25" customHeight="1" x14ac:dyDescent="0.25">
      <c r="A143" s="755" t="s">
        <v>45</v>
      </c>
      <c r="B143" s="756"/>
      <c r="C143" s="756"/>
      <c r="D143" s="756"/>
      <c r="E143" s="756"/>
      <c r="F143" s="756"/>
      <c r="G143" s="756"/>
      <c r="H143" s="756"/>
      <c r="I143" s="756"/>
      <c r="J143" s="756"/>
      <c r="K143" s="756"/>
      <c r="L143" s="756"/>
      <c r="M143" s="756"/>
      <c r="N143" s="756"/>
      <c r="O143" s="756"/>
      <c r="P143" s="756"/>
      <c r="Q143" s="756"/>
      <c r="R143" s="756"/>
      <c r="S143" s="756"/>
      <c r="T143" s="756"/>
      <c r="U143" s="63"/>
      <c r="V143" s="64"/>
      <c r="W143" s="65"/>
      <c r="X143" s="64"/>
      <c r="Y143" s="67"/>
      <c r="Z143" s="64"/>
      <c r="AA143" s="64"/>
      <c r="AB143" s="64"/>
      <c r="AC143" s="64"/>
      <c r="AD143" s="64"/>
      <c r="AE143" s="63"/>
      <c r="AF143" s="108"/>
      <c r="AG143" s="67"/>
      <c r="AH143" s="64"/>
      <c r="AI143" s="286"/>
      <c r="AJ143" s="286"/>
      <c r="AK143" s="286"/>
      <c r="AL143" s="286"/>
      <c r="AM143" s="286"/>
      <c r="AN143" s="286"/>
      <c r="AO143" s="114"/>
      <c r="AP143" s="114"/>
      <c r="AQ143" s="115">
        <f>SUM(AQ119:AQ142)/24</f>
        <v>0</v>
      </c>
      <c r="AR143" s="115">
        <f>SUM(AR119:AR142)/24</f>
        <v>0</v>
      </c>
      <c r="AS143" s="70"/>
    </row>
    <row r="144" spans="1:45" s="1" customFormat="1" ht="12.75" x14ac:dyDescent="0.25">
      <c r="A144" s="755" t="s">
        <v>46</v>
      </c>
      <c r="B144" s="756"/>
      <c r="C144" s="756"/>
      <c r="D144" s="756"/>
      <c r="E144" s="756"/>
      <c r="F144" s="756"/>
      <c r="G144" s="756"/>
      <c r="H144" s="756"/>
      <c r="I144" s="756"/>
      <c r="J144" s="756"/>
      <c r="K144" s="756"/>
      <c r="L144" s="756"/>
      <c r="M144" s="756"/>
      <c r="N144" s="756"/>
      <c r="O144" s="756"/>
      <c r="P144" s="756"/>
      <c r="Q144" s="756"/>
      <c r="R144" s="756"/>
      <c r="S144" s="756"/>
      <c r="T144" s="756"/>
      <c r="U144" s="71"/>
      <c r="V144" s="71"/>
      <c r="W144" s="65"/>
      <c r="X144" s="71"/>
      <c r="Y144" s="67"/>
      <c r="Z144" s="71"/>
      <c r="AA144" s="71"/>
      <c r="AB144" s="71"/>
      <c r="AC144" s="71"/>
      <c r="AD144" s="71"/>
      <c r="AE144" s="71"/>
      <c r="AF144" s="72"/>
      <c r="AG144" s="67"/>
      <c r="AH144" s="71"/>
      <c r="AI144" s="71"/>
      <c r="AJ144" s="71"/>
      <c r="AK144" s="71"/>
      <c r="AL144" s="71"/>
      <c r="AM144" s="71"/>
      <c r="AN144" s="71"/>
      <c r="AO144" s="71"/>
      <c r="AP144" s="68"/>
      <c r="AQ144" s="68"/>
      <c r="AR144" s="68"/>
      <c r="AS144" s="70"/>
    </row>
    <row r="145" spans="1:45" s="1" customFormat="1" ht="23.25" customHeight="1" x14ac:dyDescent="0.25">
      <c r="A145" s="770">
        <v>10</v>
      </c>
      <c r="B145" s="773" t="s">
        <v>80</v>
      </c>
      <c r="C145" s="776" t="s">
        <v>1</v>
      </c>
      <c r="D145" s="287"/>
      <c r="E145" s="288"/>
      <c r="F145" s="73">
        <f>(SUM(F150:F162)/SUM(F150:F162))*100</f>
        <v>100</v>
      </c>
      <c r="G145" s="202" t="s">
        <v>50</v>
      </c>
      <c r="H145" s="75">
        <f>SUM(H150:H162)</f>
        <v>17575600</v>
      </c>
      <c r="I145" s="73" t="e">
        <f>(SUM(I150:I162)/SUM(I150:I162))*100</f>
        <v>#DIV/0!</v>
      </c>
      <c r="J145" s="73"/>
      <c r="K145" s="73"/>
      <c r="L145" s="73"/>
      <c r="M145" s="73"/>
      <c r="N145" s="75">
        <f>SUM(N150:N162)</f>
        <v>0</v>
      </c>
      <c r="O145" s="75"/>
      <c r="P145" s="75"/>
      <c r="Q145" s="75"/>
      <c r="R145" s="75"/>
      <c r="S145" s="174" t="e">
        <f>(SUM(S150:S162)/SUM(S150:S162))*100</f>
        <v>#DIV/0!</v>
      </c>
      <c r="T145" s="75">
        <f>SUM(T150:T162)</f>
        <v>0</v>
      </c>
      <c r="U145" s="73" t="e">
        <f>(SUM(U150:U162)/SUM(S150:S162))*100</f>
        <v>#DIV/0!</v>
      </c>
      <c r="V145" s="75">
        <f>SUM(V150:V162)</f>
        <v>0</v>
      </c>
      <c r="W145" s="173" t="e">
        <f>(SUM(W150:W162)/SUM(S150:S162))*100</f>
        <v>#DIV/0!</v>
      </c>
      <c r="X145" s="75">
        <f>SUM(X150:X162)</f>
        <v>0</v>
      </c>
      <c r="Y145" s="174" t="e">
        <f>(SUM(Y150:Y162)/SUM(S150:S162))*100</f>
        <v>#DIV/0!</v>
      </c>
      <c r="Z145" s="75">
        <f>SUM(Z150:Z162)</f>
        <v>0</v>
      </c>
      <c r="AA145" s="75"/>
      <c r="AB145" s="75"/>
      <c r="AC145" s="75"/>
      <c r="AD145" s="75"/>
      <c r="AE145" s="73" t="e">
        <f>(SUM(AE150:AE162)/SUM(S150:S162))*100</f>
        <v>#DIV/0!</v>
      </c>
      <c r="AF145" s="176">
        <f>SUM(AF150:AF162)</f>
        <v>0</v>
      </c>
      <c r="AG145" s="177" t="e">
        <f>U145+W145+Y145+AE145</f>
        <v>#DIV/0!</v>
      </c>
      <c r="AH145" s="75">
        <f>SUM(AH150:AH160)</f>
        <v>0</v>
      </c>
      <c r="AI145" s="203"/>
      <c r="AJ145" s="203"/>
      <c r="AK145" s="203"/>
      <c r="AL145" s="203"/>
      <c r="AM145" s="203"/>
      <c r="AN145" s="203"/>
      <c r="AO145" s="222"/>
      <c r="AP145" s="222"/>
      <c r="AQ145" s="222"/>
      <c r="AR145" s="222"/>
      <c r="AS145" s="223"/>
    </row>
    <row r="146" spans="1:45" s="1" customFormat="1" ht="10.5" customHeight="1" x14ac:dyDescent="0.25">
      <c r="A146" s="771"/>
      <c r="B146" s="774"/>
      <c r="C146" s="777"/>
      <c r="D146" s="289" t="s">
        <v>273</v>
      </c>
      <c r="E146" s="289"/>
      <c r="F146" s="219">
        <v>97.45</v>
      </c>
      <c r="G146" s="290" t="s">
        <v>53</v>
      </c>
      <c r="H146" s="210"/>
      <c r="I146" s="211">
        <v>98.49</v>
      </c>
      <c r="J146" s="211"/>
      <c r="K146" s="211"/>
      <c r="L146" s="211"/>
      <c r="M146" s="211"/>
      <c r="N146" s="212"/>
      <c r="O146" s="212"/>
      <c r="P146" s="212"/>
      <c r="Q146" s="212"/>
      <c r="R146" s="212"/>
      <c r="S146" s="291">
        <v>97.4</v>
      </c>
      <c r="T146" s="214"/>
      <c r="U146" s="215"/>
      <c r="V146" s="212"/>
      <c r="W146" s="216"/>
      <c r="X146" s="212"/>
      <c r="Y146" s="217"/>
      <c r="Z146" s="218"/>
      <c r="AA146" s="218"/>
      <c r="AB146" s="218"/>
      <c r="AC146" s="218"/>
      <c r="AD146" s="218"/>
      <c r="AE146" s="219"/>
      <c r="AF146" s="220"/>
      <c r="AG146" s="221"/>
      <c r="AH146" s="219"/>
      <c r="AI146" s="219"/>
      <c r="AJ146" s="219"/>
      <c r="AK146" s="219"/>
      <c r="AL146" s="219"/>
      <c r="AM146" s="219"/>
      <c r="AN146" s="219"/>
      <c r="AO146" s="222"/>
      <c r="AP146" s="222"/>
      <c r="AQ146" s="222"/>
      <c r="AR146" s="222"/>
      <c r="AS146" s="223"/>
    </row>
    <row r="147" spans="1:45" s="1" customFormat="1" ht="24" customHeight="1" x14ac:dyDescent="0.25">
      <c r="A147" s="771"/>
      <c r="B147" s="774"/>
      <c r="C147" s="777"/>
      <c r="D147" s="289" t="s">
        <v>17</v>
      </c>
      <c r="E147" s="289"/>
      <c r="F147" s="219">
        <v>182</v>
      </c>
      <c r="G147" s="290" t="s">
        <v>154</v>
      </c>
      <c r="H147" s="210"/>
      <c r="I147" s="211">
        <v>113</v>
      </c>
      <c r="J147" s="211"/>
      <c r="K147" s="211"/>
      <c r="L147" s="211"/>
      <c r="M147" s="211"/>
      <c r="N147" s="212"/>
      <c r="O147" s="212"/>
      <c r="P147" s="212"/>
      <c r="Q147" s="212"/>
      <c r="R147" s="212"/>
      <c r="S147" s="291">
        <v>80</v>
      </c>
      <c r="T147" s="214"/>
      <c r="U147" s="215"/>
      <c r="V147" s="212"/>
      <c r="W147" s="216"/>
      <c r="X147" s="212"/>
      <c r="Y147" s="217"/>
      <c r="Z147" s="218"/>
      <c r="AA147" s="218"/>
      <c r="AB147" s="218"/>
      <c r="AC147" s="218"/>
      <c r="AD147" s="218"/>
      <c r="AE147" s="219"/>
      <c r="AF147" s="220"/>
      <c r="AG147" s="221"/>
      <c r="AH147" s="219"/>
      <c r="AI147" s="219"/>
      <c r="AJ147" s="219"/>
      <c r="AK147" s="219"/>
      <c r="AL147" s="219"/>
      <c r="AM147" s="219"/>
      <c r="AN147" s="219"/>
      <c r="AO147" s="222"/>
      <c r="AP147" s="222"/>
      <c r="AQ147" s="222"/>
      <c r="AR147" s="222"/>
      <c r="AS147" s="223"/>
    </row>
    <row r="148" spans="1:45" s="1" customFormat="1" ht="24" customHeight="1" x14ac:dyDescent="0.25">
      <c r="A148" s="771"/>
      <c r="B148" s="774"/>
      <c r="C148" s="777"/>
      <c r="D148" s="289" t="s">
        <v>18</v>
      </c>
      <c r="E148" s="289"/>
      <c r="F148" s="219">
        <v>199</v>
      </c>
      <c r="G148" s="290" t="s">
        <v>154</v>
      </c>
      <c r="H148" s="210"/>
      <c r="I148" s="211">
        <v>474</v>
      </c>
      <c r="J148" s="211"/>
      <c r="K148" s="211"/>
      <c r="L148" s="211"/>
      <c r="M148" s="211"/>
      <c r="N148" s="212"/>
      <c r="O148" s="212"/>
      <c r="P148" s="212"/>
      <c r="Q148" s="212"/>
      <c r="R148" s="212"/>
      <c r="S148" s="291">
        <v>75</v>
      </c>
      <c r="T148" s="214"/>
      <c r="U148" s="215"/>
      <c r="V148" s="212"/>
      <c r="W148" s="216"/>
      <c r="X148" s="212"/>
      <c r="Y148" s="217"/>
      <c r="Z148" s="218"/>
      <c r="AA148" s="218"/>
      <c r="AB148" s="218"/>
      <c r="AC148" s="218"/>
      <c r="AD148" s="218"/>
      <c r="AE148" s="219"/>
      <c r="AF148" s="220"/>
      <c r="AG148" s="221"/>
      <c r="AH148" s="219"/>
      <c r="AI148" s="219"/>
      <c r="AJ148" s="219"/>
      <c r="AK148" s="219"/>
      <c r="AL148" s="219"/>
      <c r="AM148" s="219"/>
      <c r="AN148" s="219"/>
      <c r="AO148" s="222"/>
      <c r="AP148" s="222"/>
      <c r="AQ148" s="222"/>
      <c r="AR148" s="222"/>
      <c r="AS148" s="223"/>
    </row>
    <row r="149" spans="1:45" s="1" customFormat="1" ht="23.25" customHeight="1" x14ac:dyDescent="0.25">
      <c r="A149" s="772"/>
      <c r="B149" s="775"/>
      <c r="C149" s="778"/>
      <c r="D149" s="289" t="s">
        <v>19</v>
      </c>
      <c r="E149" s="289"/>
      <c r="F149" s="219">
        <v>555</v>
      </c>
      <c r="G149" s="290" t="s">
        <v>154</v>
      </c>
      <c r="H149" s="210"/>
      <c r="I149" s="211">
        <v>835</v>
      </c>
      <c r="J149" s="211"/>
      <c r="K149" s="211"/>
      <c r="L149" s="211"/>
      <c r="M149" s="211"/>
      <c r="N149" s="212"/>
      <c r="O149" s="212"/>
      <c r="P149" s="212"/>
      <c r="Q149" s="212"/>
      <c r="R149" s="212"/>
      <c r="S149" s="291">
        <v>300</v>
      </c>
      <c r="T149" s="214"/>
      <c r="U149" s="215"/>
      <c r="V149" s="212"/>
      <c r="W149" s="216"/>
      <c r="X149" s="212"/>
      <c r="Y149" s="217"/>
      <c r="Z149" s="218"/>
      <c r="AA149" s="218"/>
      <c r="AB149" s="218"/>
      <c r="AC149" s="218"/>
      <c r="AD149" s="218"/>
      <c r="AE149" s="219"/>
      <c r="AF149" s="220"/>
      <c r="AG149" s="221"/>
      <c r="AH149" s="219"/>
      <c r="AI149" s="219"/>
      <c r="AJ149" s="219"/>
      <c r="AK149" s="219"/>
      <c r="AL149" s="219"/>
      <c r="AM149" s="219"/>
      <c r="AN149" s="219"/>
      <c r="AO149" s="222"/>
      <c r="AP149" s="222"/>
      <c r="AQ149" s="222"/>
      <c r="AR149" s="222"/>
      <c r="AS149" s="223"/>
    </row>
    <row r="150" spans="1:45" s="1" customFormat="1" ht="24" customHeight="1" x14ac:dyDescent="0.25">
      <c r="A150" s="292"/>
      <c r="B150" s="293">
        <v>1</v>
      </c>
      <c r="C150" s="294" t="s">
        <v>274</v>
      </c>
      <c r="D150" s="295" t="s">
        <v>275</v>
      </c>
      <c r="E150" s="295"/>
      <c r="F150" s="296">
        <v>5</v>
      </c>
      <c r="G150" s="297" t="s">
        <v>157</v>
      </c>
      <c r="H150" s="298">
        <f>1950000000/1000</f>
        <v>1950000</v>
      </c>
      <c r="I150" s="299"/>
      <c r="J150" s="299"/>
      <c r="K150" s="299"/>
      <c r="L150" s="299"/>
      <c r="M150" s="299"/>
      <c r="N150" s="300"/>
      <c r="O150" s="300"/>
      <c r="P150" s="300"/>
      <c r="Q150" s="300"/>
      <c r="R150" s="300"/>
      <c r="S150" s="301"/>
      <c r="T150" s="298"/>
      <c r="U150" s="302"/>
      <c r="V150" s="300"/>
      <c r="W150" s="303"/>
      <c r="X150" s="300"/>
      <c r="Y150" s="304"/>
      <c r="Z150" s="305"/>
      <c r="AA150" s="305"/>
      <c r="AB150" s="305"/>
      <c r="AC150" s="305"/>
      <c r="AD150" s="305"/>
      <c r="AE150" s="300"/>
      <c r="AF150" s="306"/>
      <c r="AG150" s="307"/>
      <c r="AH150" s="308"/>
      <c r="AI150" s="308"/>
      <c r="AJ150" s="308"/>
      <c r="AK150" s="308"/>
      <c r="AL150" s="308"/>
      <c r="AM150" s="308"/>
      <c r="AN150" s="308"/>
      <c r="AO150" s="309"/>
      <c r="AP150" s="309"/>
      <c r="AQ150" s="307"/>
      <c r="AR150" s="307"/>
      <c r="AS150" s="781"/>
    </row>
    <row r="151" spans="1:45" s="1" customFormat="1" ht="10.5" customHeight="1" x14ac:dyDescent="0.25">
      <c r="A151" s="44"/>
      <c r="B151" s="29">
        <v>2</v>
      </c>
      <c r="C151" s="194" t="s">
        <v>276</v>
      </c>
      <c r="D151" s="86" t="s">
        <v>277</v>
      </c>
      <c r="E151" s="86"/>
      <c r="F151" s="310">
        <v>60</v>
      </c>
      <c r="G151" s="33" t="s">
        <v>84</v>
      </c>
      <c r="H151" s="34">
        <f>810000000/1000</f>
        <v>810000</v>
      </c>
      <c r="I151" s="35"/>
      <c r="J151" s="35"/>
      <c r="K151" s="35"/>
      <c r="L151" s="35"/>
      <c r="M151" s="35"/>
      <c r="N151" s="36"/>
      <c r="O151" s="36"/>
      <c r="P151" s="36"/>
      <c r="Q151" s="36"/>
      <c r="R151" s="36"/>
      <c r="S151" s="110"/>
      <c r="T151" s="34"/>
      <c r="U151" s="88"/>
      <c r="V151" s="36"/>
      <c r="W151" s="37"/>
      <c r="X151" s="36"/>
      <c r="Y151" s="38"/>
      <c r="Z151" s="39"/>
      <c r="AA151" s="39"/>
      <c r="AB151" s="39"/>
      <c r="AC151" s="39"/>
      <c r="AD151" s="39"/>
      <c r="AE151" s="36"/>
      <c r="AF151" s="40"/>
      <c r="AG151" s="43"/>
      <c r="AH151" s="41"/>
      <c r="AI151" s="41"/>
      <c r="AJ151" s="41"/>
      <c r="AK151" s="41"/>
      <c r="AL151" s="41"/>
      <c r="AM151" s="41"/>
      <c r="AN151" s="41"/>
      <c r="AO151" s="42"/>
      <c r="AP151" s="42"/>
      <c r="AQ151" s="43"/>
      <c r="AR151" s="43"/>
      <c r="AS151" s="782"/>
    </row>
    <row r="152" spans="1:45" s="1" customFormat="1" ht="12" customHeight="1" x14ac:dyDescent="0.25">
      <c r="A152" s="44"/>
      <c r="B152" s="29">
        <v>3</v>
      </c>
      <c r="C152" s="194" t="s">
        <v>278</v>
      </c>
      <c r="D152" s="86" t="s">
        <v>279</v>
      </c>
      <c r="E152" s="86"/>
      <c r="F152" s="310">
        <v>60</v>
      </c>
      <c r="G152" s="33" t="s">
        <v>84</v>
      </c>
      <c r="H152" s="34">
        <f>1470000000/1000</f>
        <v>1470000</v>
      </c>
      <c r="I152" s="35"/>
      <c r="J152" s="35"/>
      <c r="K152" s="35"/>
      <c r="L152" s="35"/>
      <c r="M152" s="35"/>
      <c r="N152" s="36"/>
      <c r="O152" s="36"/>
      <c r="P152" s="36"/>
      <c r="Q152" s="36"/>
      <c r="R152" s="36"/>
      <c r="S152" s="110"/>
      <c r="T152" s="34"/>
      <c r="U152" s="88"/>
      <c r="V152" s="36"/>
      <c r="W152" s="89"/>
      <c r="X152" s="36"/>
      <c r="Y152" s="38"/>
      <c r="Z152" s="39"/>
      <c r="AA152" s="39"/>
      <c r="AB152" s="39"/>
      <c r="AC152" s="39"/>
      <c r="AD152" s="39"/>
      <c r="AE152" s="36"/>
      <c r="AF152" s="40"/>
      <c r="AG152" s="43"/>
      <c r="AH152" s="41"/>
      <c r="AI152" s="41"/>
      <c r="AJ152" s="41"/>
      <c r="AK152" s="41"/>
      <c r="AL152" s="41"/>
      <c r="AM152" s="41"/>
      <c r="AN152" s="41"/>
      <c r="AO152" s="42"/>
      <c r="AP152" s="42"/>
      <c r="AQ152" s="43"/>
      <c r="AR152" s="43"/>
      <c r="AS152" s="782"/>
    </row>
    <row r="153" spans="1:45" s="1" customFormat="1" ht="10.5" customHeight="1" x14ac:dyDescent="0.25">
      <c r="A153" s="44"/>
      <c r="B153" s="29">
        <v>4</v>
      </c>
      <c r="C153" s="194" t="s">
        <v>280</v>
      </c>
      <c r="D153" s="86" t="s">
        <v>281</v>
      </c>
      <c r="E153" s="86"/>
      <c r="F153" s="310">
        <v>60</v>
      </c>
      <c r="G153" s="33" t="s">
        <v>84</v>
      </c>
      <c r="H153" s="34">
        <f>3165000000/1000</f>
        <v>3165000</v>
      </c>
      <c r="I153" s="35"/>
      <c r="J153" s="35"/>
      <c r="K153" s="35"/>
      <c r="L153" s="35"/>
      <c r="M153" s="35"/>
      <c r="N153" s="36"/>
      <c r="O153" s="36"/>
      <c r="P153" s="36"/>
      <c r="Q153" s="36"/>
      <c r="R153" s="36"/>
      <c r="S153" s="110"/>
      <c r="T153" s="34"/>
      <c r="U153" s="88"/>
      <c r="V153" s="36"/>
      <c r="W153" s="37"/>
      <c r="X153" s="36"/>
      <c r="Y153" s="38"/>
      <c r="Z153" s="39"/>
      <c r="AA153" s="39"/>
      <c r="AB153" s="39"/>
      <c r="AC153" s="39"/>
      <c r="AD153" s="39"/>
      <c r="AE153" s="36"/>
      <c r="AF153" s="40"/>
      <c r="AG153" s="43"/>
      <c r="AH153" s="41"/>
      <c r="AI153" s="41"/>
      <c r="AJ153" s="41"/>
      <c r="AK153" s="41"/>
      <c r="AL153" s="41"/>
      <c r="AM153" s="41"/>
      <c r="AN153" s="41"/>
      <c r="AO153" s="42"/>
      <c r="AP153" s="42"/>
      <c r="AQ153" s="43"/>
      <c r="AR153" s="43"/>
      <c r="AS153" s="782"/>
    </row>
    <row r="154" spans="1:45" s="1" customFormat="1" ht="24" customHeight="1" x14ac:dyDescent="0.25">
      <c r="A154" s="44"/>
      <c r="B154" s="29">
        <v>5</v>
      </c>
      <c r="C154" s="194" t="s">
        <v>282</v>
      </c>
      <c r="D154" s="86" t="s">
        <v>281</v>
      </c>
      <c r="E154" s="86"/>
      <c r="F154" s="310">
        <v>60</v>
      </c>
      <c r="G154" s="33" t="s">
        <v>84</v>
      </c>
      <c r="H154" s="34">
        <f>1960000000/1000</f>
        <v>1960000</v>
      </c>
      <c r="I154" s="35"/>
      <c r="J154" s="35"/>
      <c r="K154" s="35"/>
      <c r="L154" s="35"/>
      <c r="M154" s="35"/>
      <c r="N154" s="311"/>
      <c r="O154" s="311"/>
      <c r="P154" s="311"/>
      <c r="Q154" s="311"/>
      <c r="R154" s="311"/>
      <c r="S154" s="110"/>
      <c r="T154" s="34"/>
      <c r="U154" s="35"/>
      <c r="V154" s="36"/>
      <c r="W154" s="89"/>
      <c r="X154" s="36"/>
      <c r="Y154" s="38"/>
      <c r="Z154" s="39"/>
      <c r="AA154" s="39"/>
      <c r="AB154" s="39"/>
      <c r="AC154" s="39"/>
      <c r="AD154" s="39"/>
      <c r="AE154" s="36"/>
      <c r="AF154" s="40"/>
      <c r="AG154" s="43"/>
      <c r="AH154" s="41"/>
      <c r="AI154" s="41"/>
      <c r="AJ154" s="41"/>
      <c r="AK154" s="41"/>
      <c r="AL154" s="41"/>
      <c r="AM154" s="41"/>
      <c r="AN154" s="41"/>
      <c r="AO154" s="42"/>
      <c r="AP154" s="42"/>
      <c r="AQ154" s="43"/>
      <c r="AR154" s="43"/>
      <c r="AS154" s="782"/>
    </row>
    <row r="155" spans="1:45" s="1" customFormat="1" ht="23.25" customHeight="1" x14ac:dyDescent="0.25">
      <c r="A155" s="44"/>
      <c r="B155" s="29">
        <v>6</v>
      </c>
      <c r="C155" s="194" t="s">
        <v>283</v>
      </c>
      <c r="D155" s="86" t="s">
        <v>284</v>
      </c>
      <c r="E155" s="86"/>
      <c r="F155" s="310">
        <v>5</v>
      </c>
      <c r="G155" s="33" t="s">
        <v>157</v>
      </c>
      <c r="H155" s="34">
        <f>1060000000/1000</f>
        <v>1060000</v>
      </c>
      <c r="I155" s="88"/>
      <c r="J155" s="88"/>
      <c r="K155" s="88"/>
      <c r="L155" s="88"/>
      <c r="M155" s="88"/>
      <c r="N155" s="36"/>
      <c r="O155" s="36"/>
      <c r="P155" s="36"/>
      <c r="Q155" s="36"/>
      <c r="R155" s="36"/>
      <c r="S155" s="88"/>
      <c r="T155" s="34"/>
      <c r="U155" s="88"/>
      <c r="V155" s="36"/>
      <c r="W155" s="37"/>
      <c r="X155" s="36"/>
      <c r="Y155" s="38"/>
      <c r="Z155" s="39"/>
      <c r="AA155" s="39"/>
      <c r="AB155" s="39"/>
      <c r="AC155" s="39"/>
      <c r="AD155" s="39"/>
      <c r="AE155" s="36"/>
      <c r="AF155" s="40"/>
      <c r="AG155" s="43"/>
      <c r="AH155" s="41"/>
      <c r="AI155" s="41"/>
      <c r="AJ155" s="41"/>
      <c r="AK155" s="41"/>
      <c r="AL155" s="41"/>
      <c r="AM155" s="41"/>
      <c r="AN155" s="41"/>
      <c r="AO155" s="42"/>
      <c r="AP155" s="42"/>
      <c r="AQ155" s="43"/>
      <c r="AR155" s="43"/>
      <c r="AS155" s="782"/>
    </row>
    <row r="156" spans="1:45" s="1" customFormat="1" ht="11.25" customHeight="1" x14ac:dyDescent="0.25">
      <c r="A156" s="44"/>
      <c r="B156" s="29">
        <v>7</v>
      </c>
      <c r="C156" s="194" t="s">
        <v>240</v>
      </c>
      <c r="D156" s="86" t="s">
        <v>285</v>
      </c>
      <c r="E156" s="86"/>
      <c r="F156" s="310">
        <v>60</v>
      </c>
      <c r="G156" s="33" t="s">
        <v>84</v>
      </c>
      <c r="H156" s="34">
        <f>810000000/1000</f>
        <v>810000</v>
      </c>
      <c r="I156" s="35"/>
      <c r="J156" s="35"/>
      <c r="K156" s="35"/>
      <c r="L156" s="35"/>
      <c r="M156" s="35"/>
      <c r="N156" s="36"/>
      <c r="O156" s="36"/>
      <c r="P156" s="36"/>
      <c r="Q156" s="36"/>
      <c r="R156" s="36"/>
      <c r="S156" s="110"/>
      <c r="T156" s="34"/>
      <c r="U156" s="88"/>
      <c r="V156" s="36"/>
      <c r="W156" s="37"/>
      <c r="X156" s="36"/>
      <c r="Y156" s="38"/>
      <c r="Z156" s="39"/>
      <c r="AA156" s="39"/>
      <c r="AB156" s="39"/>
      <c r="AC156" s="39"/>
      <c r="AD156" s="39"/>
      <c r="AE156" s="36"/>
      <c r="AF156" s="40"/>
      <c r="AG156" s="43"/>
      <c r="AH156" s="41"/>
      <c r="AI156" s="41"/>
      <c r="AJ156" s="41"/>
      <c r="AK156" s="41"/>
      <c r="AL156" s="41"/>
      <c r="AM156" s="41"/>
      <c r="AN156" s="41"/>
      <c r="AO156" s="42"/>
      <c r="AP156" s="42"/>
      <c r="AQ156" s="43"/>
      <c r="AR156" s="43"/>
      <c r="AS156" s="782"/>
    </row>
    <row r="157" spans="1:45" s="1" customFormat="1" ht="11.25" customHeight="1" x14ac:dyDescent="0.25">
      <c r="A157" s="44"/>
      <c r="B157" s="29">
        <v>8</v>
      </c>
      <c r="C157" s="194" t="s">
        <v>266</v>
      </c>
      <c r="D157" s="86" t="s">
        <v>284</v>
      </c>
      <c r="E157" s="86"/>
      <c r="F157" s="310">
        <v>60</v>
      </c>
      <c r="G157" s="33" t="s">
        <v>84</v>
      </c>
      <c r="H157" s="34">
        <f>3950000000/1000</f>
        <v>3950000</v>
      </c>
      <c r="I157" s="88"/>
      <c r="J157" s="88"/>
      <c r="K157" s="88"/>
      <c r="L157" s="88"/>
      <c r="M157" s="88"/>
      <c r="N157" s="36"/>
      <c r="O157" s="36"/>
      <c r="P157" s="36"/>
      <c r="Q157" s="36"/>
      <c r="R157" s="36"/>
      <c r="S157" s="110"/>
      <c r="T157" s="34"/>
      <c r="U157" s="35"/>
      <c r="V157" s="36"/>
      <c r="W157" s="89"/>
      <c r="X157" s="36"/>
      <c r="Y157" s="38"/>
      <c r="Z157" s="39"/>
      <c r="AA157" s="39"/>
      <c r="AB157" s="39"/>
      <c r="AC157" s="39"/>
      <c r="AD157" s="39"/>
      <c r="AE157" s="36"/>
      <c r="AF157" s="40"/>
      <c r="AG157" s="43"/>
      <c r="AH157" s="41"/>
      <c r="AI157" s="41"/>
      <c r="AJ157" s="41"/>
      <c r="AK157" s="41"/>
      <c r="AL157" s="41"/>
      <c r="AM157" s="41"/>
      <c r="AN157" s="41"/>
      <c r="AO157" s="42"/>
      <c r="AP157" s="42"/>
      <c r="AQ157" s="43"/>
      <c r="AR157" s="43"/>
      <c r="AS157" s="782"/>
    </row>
    <row r="158" spans="1:45" s="1" customFormat="1" ht="24" customHeight="1" x14ac:dyDescent="0.25">
      <c r="A158" s="44"/>
      <c r="B158" s="29">
        <v>9</v>
      </c>
      <c r="C158" s="194" t="s">
        <v>286</v>
      </c>
      <c r="D158" s="86" t="s">
        <v>287</v>
      </c>
      <c r="E158" s="86"/>
      <c r="F158" s="32">
        <v>60</v>
      </c>
      <c r="G158" s="33" t="s">
        <v>84</v>
      </c>
      <c r="H158" s="34">
        <f>1735600000/1000</f>
        <v>1735600</v>
      </c>
      <c r="I158" s="35"/>
      <c r="J158" s="35"/>
      <c r="K158" s="35"/>
      <c r="L158" s="35"/>
      <c r="M158" s="35"/>
      <c r="N158" s="36"/>
      <c r="O158" s="36"/>
      <c r="P158" s="36"/>
      <c r="Q158" s="36"/>
      <c r="R158" s="36"/>
      <c r="S158" s="110"/>
      <c r="T158" s="34"/>
      <c r="U158" s="35"/>
      <c r="V158" s="36"/>
      <c r="W158" s="89"/>
      <c r="X158" s="36"/>
      <c r="Y158" s="38"/>
      <c r="Z158" s="39"/>
      <c r="AA158" s="39"/>
      <c r="AB158" s="39"/>
      <c r="AC158" s="39"/>
      <c r="AD158" s="39"/>
      <c r="AE158" s="36"/>
      <c r="AF158" s="40"/>
      <c r="AG158" s="43"/>
      <c r="AH158" s="41"/>
      <c r="AI158" s="41"/>
      <c r="AJ158" s="41"/>
      <c r="AK158" s="41"/>
      <c r="AL158" s="41"/>
      <c r="AM158" s="41"/>
      <c r="AN158" s="41"/>
      <c r="AO158" s="42"/>
      <c r="AP158" s="42"/>
      <c r="AQ158" s="43"/>
      <c r="AR158" s="43"/>
      <c r="AS158" s="782"/>
    </row>
    <row r="159" spans="1:45" s="1" customFormat="1" ht="24" customHeight="1" x14ac:dyDescent="0.25">
      <c r="A159" s="44"/>
      <c r="B159" s="29">
        <v>10</v>
      </c>
      <c r="C159" s="194" t="s">
        <v>288</v>
      </c>
      <c r="D159" s="86" t="s">
        <v>287</v>
      </c>
      <c r="E159" s="86"/>
      <c r="F159" s="32">
        <v>60</v>
      </c>
      <c r="G159" s="33" t="s">
        <v>84</v>
      </c>
      <c r="H159" s="34">
        <f>415000000/1000</f>
        <v>415000</v>
      </c>
      <c r="I159" s="35"/>
      <c r="J159" s="35"/>
      <c r="K159" s="35"/>
      <c r="L159" s="35"/>
      <c r="M159" s="35"/>
      <c r="N159" s="36"/>
      <c r="O159" s="36"/>
      <c r="P159" s="36"/>
      <c r="Q159" s="36"/>
      <c r="R159" s="36"/>
      <c r="S159" s="110"/>
      <c r="T159" s="34"/>
      <c r="U159" s="35"/>
      <c r="V159" s="36"/>
      <c r="W159" s="89"/>
      <c r="X159" s="36"/>
      <c r="Y159" s="38"/>
      <c r="Z159" s="39"/>
      <c r="AA159" s="39"/>
      <c r="AB159" s="39"/>
      <c r="AC159" s="39"/>
      <c r="AD159" s="39"/>
      <c r="AE159" s="36"/>
      <c r="AF159" s="40"/>
      <c r="AG159" s="43"/>
      <c r="AH159" s="41"/>
      <c r="AI159" s="41"/>
      <c r="AJ159" s="41"/>
      <c r="AK159" s="41"/>
      <c r="AL159" s="41"/>
      <c r="AM159" s="41"/>
      <c r="AN159" s="41"/>
      <c r="AO159" s="42"/>
      <c r="AP159" s="42"/>
      <c r="AQ159" s="43"/>
      <c r="AR159" s="43"/>
      <c r="AS159" s="782"/>
    </row>
    <row r="160" spans="1:45" s="1" customFormat="1" ht="24" customHeight="1" x14ac:dyDescent="0.25">
      <c r="A160" s="44"/>
      <c r="B160" s="29">
        <v>11</v>
      </c>
      <c r="C160" s="194" t="s">
        <v>289</v>
      </c>
      <c r="D160" s="86" t="s">
        <v>290</v>
      </c>
      <c r="E160" s="86"/>
      <c r="F160" s="32">
        <v>1</v>
      </c>
      <c r="G160" s="312" t="s">
        <v>135</v>
      </c>
      <c r="H160" s="34">
        <f>250000000/1000</f>
        <v>250000</v>
      </c>
      <c r="I160" s="88"/>
      <c r="J160" s="88"/>
      <c r="K160" s="88"/>
      <c r="L160" s="88"/>
      <c r="M160" s="88"/>
      <c r="N160" s="36"/>
      <c r="O160" s="36"/>
      <c r="P160" s="36"/>
      <c r="Q160" s="36"/>
      <c r="R160" s="36"/>
      <c r="S160" s="88"/>
      <c r="T160" s="34"/>
      <c r="U160" s="88"/>
      <c r="V160" s="36"/>
      <c r="W160" s="37"/>
      <c r="X160" s="36"/>
      <c r="Y160" s="38"/>
      <c r="Z160" s="313"/>
      <c r="AA160" s="313"/>
      <c r="AB160" s="313"/>
      <c r="AC160" s="313"/>
      <c r="AD160" s="313"/>
      <c r="AE160" s="36"/>
      <c r="AF160" s="40"/>
      <c r="AG160" s="43"/>
      <c r="AH160" s="41"/>
      <c r="AI160" s="41"/>
      <c r="AJ160" s="41"/>
      <c r="AK160" s="41"/>
      <c r="AL160" s="41"/>
      <c r="AM160" s="41"/>
      <c r="AN160" s="41"/>
      <c r="AO160" s="42"/>
      <c r="AP160" s="42"/>
      <c r="AQ160" s="43"/>
      <c r="AR160" s="43"/>
      <c r="AS160" s="782"/>
    </row>
    <row r="161" spans="1:45" s="1" customFormat="1" ht="24" customHeight="1" x14ac:dyDescent="0.25">
      <c r="A161" s="44"/>
      <c r="B161" s="29"/>
      <c r="C161" s="194" t="s">
        <v>291</v>
      </c>
      <c r="D161" s="86" t="s">
        <v>292</v>
      </c>
      <c r="E161" s="86"/>
      <c r="F161" s="32"/>
      <c r="G161" s="312"/>
      <c r="H161" s="34"/>
      <c r="I161" s="88"/>
      <c r="J161" s="88"/>
      <c r="K161" s="88"/>
      <c r="L161" s="88"/>
      <c r="M161" s="88"/>
      <c r="N161" s="36"/>
      <c r="O161" s="36"/>
      <c r="P161" s="36"/>
      <c r="Q161" s="36"/>
      <c r="R161" s="36"/>
      <c r="S161" s="88"/>
      <c r="T161" s="34"/>
      <c r="U161" s="88"/>
      <c r="V161" s="36"/>
      <c r="W161" s="37"/>
      <c r="X161" s="36"/>
      <c r="Y161" s="38"/>
      <c r="Z161" s="313"/>
      <c r="AA161" s="313"/>
      <c r="AB161" s="313"/>
      <c r="AC161" s="313"/>
      <c r="AD161" s="313"/>
      <c r="AE161" s="36"/>
      <c r="AF161" s="40"/>
      <c r="AG161" s="43"/>
      <c r="AH161" s="41"/>
      <c r="AI161" s="41"/>
      <c r="AJ161" s="41"/>
      <c r="AK161" s="41"/>
      <c r="AL161" s="41"/>
      <c r="AM161" s="41"/>
      <c r="AN161" s="41"/>
      <c r="AO161" s="42"/>
      <c r="AP161" s="42"/>
      <c r="AQ161" s="43"/>
      <c r="AR161" s="43"/>
      <c r="AS161" s="314"/>
    </row>
    <row r="162" spans="1:45" s="1" customFormat="1" ht="24" customHeight="1" x14ac:dyDescent="0.25">
      <c r="A162" s="46"/>
      <c r="B162" s="102">
        <v>12</v>
      </c>
      <c r="C162" s="196" t="s">
        <v>244</v>
      </c>
      <c r="D162" s="90" t="s">
        <v>245</v>
      </c>
      <c r="E162" s="90"/>
      <c r="F162" s="49">
        <v>0</v>
      </c>
      <c r="G162" s="315">
        <v>0</v>
      </c>
      <c r="H162" s="51">
        <v>0</v>
      </c>
      <c r="I162" s="93"/>
      <c r="J162" s="93"/>
      <c r="K162" s="93"/>
      <c r="L162" s="93"/>
      <c r="M162" s="93"/>
      <c r="N162" s="53"/>
      <c r="O162" s="53"/>
      <c r="P162" s="53"/>
      <c r="Q162" s="53"/>
      <c r="R162" s="53"/>
      <c r="S162" s="93"/>
      <c r="T162" s="51"/>
      <c r="U162" s="93"/>
      <c r="V162" s="53"/>
      <c r="W162" s="60"/>
      <c r="X162" s="53"/>
      <c r="Y162" s="56"/>
      <c r="Z162" s="316"/>
      <c r="AA162" s="316"/>
      <c r="AB162" s="316"/>
      <c r="AC162" s="316"/>
      <c r="AD162" s="316"/>
      <c r="AE162" s="53"/>
      <c r="AF162" s="55"/>
      <c r="AG162" s="59"/>
      <c r="AH162" s="57"/>
      <c r="AI162" s="57"/>
      <c r="AJ162" s="57"/>
      <c r="AK162" s="57"/>
      <c r="AL162" s="57"/>
      <c r="AM162" s="57"/>
      <c r="AN162" s="57"/>
      <c r="AO162" s="58"/>
      <c r="AP162" s="58"/>
      <c r="AQ162" s="59"/>
      <c r="AR162" s="59"/>
      <c r="AS162" s="317"/>
    </row>
    <row r="163" spans="1:45" s="1" customFormat="1" ht="12.75" x14ac:dyDescent="0.25">
      <c r="A163" s="755" t="s">
        <v>45</v>
      </c>
      <c r="B163" s="756"/>
      <c r="C163" s="756"/>
      <c r="D163" s="756"/>
      <c r="E163" s="756"/>
      <c r="F163" s="756"/>
      <c r="G163" s="756"/>
      <c r="H163" s="756"/>
      <c r="I163" s="756"/>
      <c r="J163" s="756"/>
      <c r="K163" s="756"/>
      <c r="L163" s="756"/>
      <c r="M163" s="756"/>
      <c r="N163" s="756"/>
      <c r="O163" s="756"/>
      <c r="P163" s="756"/>
      <c r="Q163" s="756"/>
      <c r="R163" s="756"/>
      <c r="S163" s="756"/>
      <c r="T163" s="756"/>
      <c r="U163" s="63" t="e">
        <f>U145</f>
        <v>#DIV/0!</v>
      </c>
      <c r="V163" s="64" t="e">
        <f>V145/T145*100</f>
        <v>#DIV/0!</v>
      </c>
      <c r="W163" s="65" t="e">
        <f>W145</f>
        <v>#DIV/0!</v>
      </c>
      <c r="X163" s="64" t="e">
        <f>X145/T145*100</f>
        <v>#DIV/0!</v>
      </c>
      <c r="Y163" s="67">
        <f>Y159</f>
        <v>0</v>
      </c>
      <c r="Z163" s="64" t="e">
        <f>Z159/T159*100</f>
        <v>#DIV/0!</v>
      </c>
      <c r="AA163" s="64"/>
      <c r="AB163" s="64"/>
      <c r="AC163" s="64"/>
      <c r="AD163" s="64"/>
      <c r="AE163" s="63">
        <f>AE159</f>
        <v>0</v>
      </c>
      <c r="AF163" s="108" t="e">
        <f>AF159/T159*100</f>
        <v>#DIV/0!</v>
      </c>
      <c r="AG163" s="67" t="e">
        <f>(U163+W163+Y163+AE163)</f>
        <v>#DIV/0!</v>
      </c>
      <c r="AH163" s="64" t="e">
        <f>V163+X163+Z163+AF163</f>
        <v>#DIV/0!</v>
      </c>
      <c r="AI163" s="286"/>
      <c r="AJ163" s="286"/>
      <c r="AK163" s="286"/>
      <c r="AL163" s="286"/>
      <c r="AM163" s="286"/>
      <c r="AN163" s="286"/>
      <c r="AO163" s="114"/>
      <c r="AP163" s="114"/>
      <c r="AQ163" s="115">
        <f>SUM(AQ150:AQ162)/12</f>
        <v>0</v>
      </c>
      <c r="AR163" s="115">
        <f>SUM(AR150:AR162)/12</f>
        <v>0</v>
      </c>
      <c r="AS163" s="70"/>
    </row>
    <row r="164" spans="1:45" s="1" customFormat="1" ht="12.75" x14ac:dyDescent="0.25">
      <c r="A164" s="755" t="s">
        <v>46</v>
      </c>
      <c r="B164" s="756"/>
      <c r="C164" s="756"/>
      <c r="D164" s="756"/>
      <c r="E164" s="756"/>
      <c r="F164" s="756"/>
      <c r="G164" s="756"/>
      <c r="H164" s="756"/>
      <c r="I164" s="756"/>
      <c r="J164" s="756"/>
      <c r="K164" s="756"/>
      <c r="L164" s="756"/>
      <c r="M164" s="756"/>
      <c r="N164" s="756"/>
      <c r="O164" s="756"/>
      <c r="P164" s="756"/>
      <c r="Q164" s="756"/>
      <c r="R164" s="756"/>
      <c r="S164" s="756"/>
      <c r="T164" s="756"/>
      <c r="U164" s="71" t="s">
        <v>51</v>
      </c>
      <c r="V164" s="71" t="s">
        <v>51</v>
      </c>
      <c r="W164" s="65" t="s">
        <v>52</v>
      </c>
      <c r="X164" s="71" t="s">
        <v>56</v>
      </c>
      <c r="Y164" s="67"/>
      <c r="Z164" s="71"/>
      <c r="AA164" s="71"/>
      <c r="AB164" s="71"/>
      <c r="AC164" s="71"/>
      <c r="AD164" s="71"/>
      <c r="AE164" s="71"/>
      <c r="AF164" s="72"/>
      <c r="AG164" s="67" t="s">
        <v>52</v>
      </c>
      <c r="AH164" s="71" t="s">
        <v>56</v>
      </c>
      <c r="AI164" s="71"/>
      <c r="AJ164" s="71"/>
      <c r="AK164" s="71"/>
      <c r="AL164" s="71"/>
      <c r="AM164" s="71"/>
      <c r="AN164" s="71"/>
      <c r="AO164" s="71"/>
      <c r="AP164" s="68"/>
      <c r="AQ164" s="68"/>
      <c r="AR164" s="68"/>
      <c r="AS164" s="70"/>
    </row>
    <row r="165" spans="1:45" s="1" customFormat="1" ht="24" customHeight="1" x14ac:dyDescent="0.25">
      <c r="A165" s="18">
        <v>11</v>
      </c>
      <c r="B165" s="19" t="s">
        <v>80</v>
      </c>
      <c r="C165" s="20" t="s">
        <v>20</v>
      </c>
      <c r="D165" s="276"/>
      <c r="E165" s="276"/>
      <c r="F165" s="24">
        <f>(F166)/(F166)*100</f>
        <v>100</v>
      </c>
      <c r="G165" s="98" t="s">
        <v>50</v>
      </c>
      <c r="H165" s="23">
        <f>SUM(H166:H166)</f>
        <v>438000</v>
      </c>
      <c r="I165" s="24" t="e">
        <f>(I166)/(I166)*100</f>
        <v>#DIV/0!</v>
      </c>
      <c r="J165" s="24"/>
      <c r="K165" s="24"/>
      <c r="L165" s="24"/>
      <c r="M165" s="24"/>
      <c r="N165" s="23">
        <f>SUM(N166:N166)</f>
        <v>0</v>
      </c>
      <c r="O165" s="23"/>
      <c r="P165" s="23"/>
      <c r="Q165" s="23"/>
      <c r="R165" s="23"/>
      <c r="S165" s="120">
        <v>0</v>
      </c>
      <c r="T165" s="23">
        <f>SUM(T166:T166)</f>
        <v>0</v>
      </c>
      <c r="U165" s="24">
        <v>0</v>
      </c>
      <c r="V165" s="23">
        <f>SUM(V166:V166)</f>
        <v>0</v>
      </c>
      <c r="W165" s="25">
        <v>0</v>
      </c>
      <c r="X165" s="23">
        <f>SUM(X166:X166)</f>
        <v>0</v>
      </c>
      <c r="Y165" s="25">
        <v>0</v>
      </c>
      <c r="Z165" s="26">
        <f>SUM(Z166:Z166)</f>
        <v>0</v>
      </c>
      <c r="AA165" s="26"/>
      <c r="AB165" s="26"/>
      <c r="AC165" s="26"/>
      <c r="AD165" s="26"/>
      <c r="AE165" s="24">
        <v>0</v>
      </c>
      <c r="AF165" s="23">
        <f>SUM(AF166:AF166)</f>
        <v>0</v>
      </c>
      <c r="AG165" s="25">
        <v>0</v>
      </c>
      <c r="AH165" s="23">
        <f>SUM(AH166:AH166)</f>
        <v>0</v>
      </c>
      <c r="AI165" s="23"/>
      <c r="AJ165" s="23"/>
      <c r="AK165" s="23"/>
      <c r="AL165" s="23"/>
      <c r="AM165" s="23"/>
      <c r="AN165" s="23"/>
      <c r="AO165" s="277"/>
      <c r="AP165" s="277"/>
      <c r="AQ165" s="278"/>
      <c r="AR165" s="278"/>
      <c r="AS165" s="279"/>
    </row>
    <row r="166" spans="1:45" s="1" customFormat="1" ht="24" customHeight="1" x14ac:dyDescent="0.25">
      <c r="A166" s="46"/>
      <c r="B166" s="102">
        <v>1</v>
      </c>
      <c r="C166" s="47" t="s">
        <v>293</v>
      </c>
      <c r="D166" s="47" t="s">
        <v>294</v>
      </c>
      <c r="E166" s="47"/>
      <c r="F166" s="197">
        <v>12</v>
      </c>
      <c r="G166" s="50" t="s">
        <v>84</v>
      </c>
      <c r="H166" s="51">
        <f>438000000/1000</f>
        <v>438000</v>
      </c>
      <c r="I166" s="52"/>
      <c r="J166" s="52"/>
      <c r="K166" s="52"/>
      <c r="L166" s="52"/>
      <c r="M166" s="52"/>
      <c r="N166" s="53"/>
      <c r="O166" s="53"/>
      <c r="P166" s="53"/>
      <c r="Q166" s="53"/>
      <c r="R166" s="53"/>
      <c r="S166" s="102"/>
      <c r="T166" s="51"/>
      <c r="U166" s="285"/>
      <c r="V166" s="53"/>
      <c r="W166" s="105"/>
      <c r="X166" s="53"/>
      <c r="Y166" s="56"/>
      <c r="Z166" s="61"/>
      <c r="AA166" s="61"/>
      <c r="AB166" s="61"/>
      <c r="AC166" s="61"/>
      <c r="AD166" s="61"/>
      <c r="AE166" s="197"/>
      <c r="AF166" s="106"/>
      <c r="AG166" s="59"/>
      <c r="AH166" s="57"/>
      <c r="AI166" s="57"/>
      <c r="AJ166" s="57"/>
      <c r="AK166" s="57"/>
      <c r="AL166" s="57"/>
      <c r="AM166" s="57"/>
      <c r="AN166" s="57"/>
      <c r="AO166" s="58"/>
      <c r="AP166" s="58"/>
      <c r="AQ166" s="318"/>
      <c r="AR166" s="318"/>
      <c r="AS166" s="107"/>
    </row>
    <row r="167" spans="1:45" s="1" customFormat="1" ht="12.75" x14ac:dyDescent="0.25">
      <c r="A167" s="755" t="s">
        <v>45</v>
      </c>
      <c r="B167" s="756"/>
      <c r="C167" s="756"/>
      <c r="D167" s="756"/>
      <c r="E167" s="756"/>
      <c r="F167" s="756"/>
      <c r="G167" s="756"/>
      <c r="H167" s="756"/>
      <c r="I167" s="756"/>
      <c r="J167" s="756"/>
      <c r="K167" s="756"/>
      <c r="L167" s="756"/>
      <c r="M167" s="756"/>
      <c r="N167" s="756"/>
      <c r="O167" s="756"/>
      <c r="P167" s="756"/>
      <c r="Q167" s="756"/>
      <c r="R167" s="756"/>
      <c r="S167" s="756"/>
      <c r="T167" s="756"/>
      <c r="U167" s="63"/>
      <c r="V167" s="64"/>
      <c r="W167" s="65"/>
      <c r="X167" s="64"/>
      <c r="Y167" s="67"/>
      <c r="Z167" s="64"/>
      <c r="AA167" s="64"/>
      <c r="AB167" s="64"/>
      <c r="AC167" s="64"/>
      <c r="AD167" s="64"/>
      <c r="AE167" s="63"/>
      <c r="AF167" s="108"/>
      <c r="AG167" s="67">
        <f>(U167+W167+Y167+AE167)</f>
        <v>0</v>
      </c>
      <c r="AH167" s="64">
        <f>V167+X167+Z167+AF167</f>
        <v>0</v>
      </c>
      <c r="AI167" s="64"/>
      <c r="AJ167" s="64"/>
      <c r="AK167" s="64"/>
      <c r="AL167" s="64"/>
      <c r="AM167" s="64"/>
      <c r="AN167" s="64"/>
      <c r="AO167" s="68"/>
      <c r="AP167" s="68"/>
      <c r="AQ167" s="69">
        <f>SUM(AQ166:AQ166)/1</f>
        <v>0</v>
      </c>
      <c r="AR167" s="69">
        <f>SUM(AR166:AR166)/1</f>
        <v>0</v>
      </c>
      <c r="AS167" s="70"/>
    </row>
    <row r="168" spans="1:45" s="1" customFormat="1" ht="12.75" x14ac:dyDescent="0.25">
      <c r="A168" s="755" t="s">
        <v>46</v>
      </c>
      <c r="B168" s="756"/>
      <c r="C168" s="756"/>
      <c r="D168" s="756"/>
      <c r="E168" s="756"/>
      <c r="F168" s="756"/>
      <c r="G168" s="756"/>
      <c r="H168" s="756"/>
      <c r="I168" s="756"/>
      <c r="J168" s="756"/>
      <c r="K168" s="756"/>
      <c r="L168" s="756"/>
      <c r="M168" s="756"/>
      <c r="N168" s="756"/>
      <c r="O168" s="756"/>
      <c r="P168" s="756"/>
      <c r="Q168" s="756"/>
      <c r="R168" s="756"/>
      <c r="S168" s="756"/>
      <c r="T168" s="756"/>
      <c r="U168" s="71"/>
      <c r="V168" s="71"/>
      <c r="W168" s="65"/>
      <c r="X168" s="71"/>
      <c r="Y168" s="67"/>
      <c r="Z168" s="71"/>
      <c r="AA168" s="71"/>
      <c r="AB168" s="71"/>
      <c r="AC168" s="71"/>
      <c r="AD168" s="71"/>
      <c r="AE168" s="71"/>
      <c r="AF168" s="72"/>
      <c r="AG168" s="67"/>
      <c r="AH168" s="71"/>
      <c r="AI168" s="71"/>
      <c r="AJ168" s="71"/>
      <c r="AK168" s="71"/>
      <c r="AL168" s="71"/>
      <c r="AM168" s="71"/>
      <c r="AN168" s="71"/>
      <c r="AO168" s="71"/>
      <c r="AP168" s="68"/>
      <c r="AQ168" s="68"/>
      <c r="AR168" s="68"/>
      <c r="AS168" s="70"/>
    </row>
    <row r="169" spans="1:45" s="1" customFormat="1" ht="24" customHeight="1" x14ac:dyDescent="0.25">
      <c r="A169" s="18">
        <v>12</v>
      </c>
      <c r="B169" s="19" t="s">
        <v>80</v>
      </c>
      <c r="C169" s="20" t="s">
        <v>295</v>
      </c>
      <c r="D169" s="276"/>
      <c r="E169" s="276"/>
      <c r="F169" s="73">
        <f>(SUM(F171:F180)/SUM(F171:F180))*100</f>
        <v>100</v>
      </c>
      <c r="G169" s="202" t="s">
        <v>50</v>
      </c>
      <c r="H169" s="75">
        <f>SUM(H171:H180)</f>
        <v>34650000</v>
      </c>
      <c r="I169" s="73" t="e">
        <f>(SUM(I171:I180)/SUM(I171:I180))*100</f>
        <v>#DIV/0!</v>
      </c>
      <c r="J169" s="73"/>
      <c r="K169" s="73"/>
      <c r="L169" s="73"/>
      <c r="M169" s="73"/>
      <c r="N169" s="75">
        <f>SUM(N171:N180)</f>
        <v>0</v>
      </c>
      <c r="O169" s="75"/>
      <c r="P169" s="75"/>
      <c r="Q169" s="75"/>
      <c r="R169" s="75"/>
      <c r="S169" s="174" t="e">
        <f>(SUM(S171:S180)/SUM(S171:S180))*100</f>
        <v>#DIV/0!</v>
      </c>
      <c r="T169" s="75">
        <f>SUM(T171:T180)</f>
        <v>0</v>
      </c>
      <c r="U169" s="73" t="e">
        <f>(SUM(U171:U180)/SUM(S171:S180))*100</f>
        <v>#DIV/0!</v>
      </c>
      <c r="V169" s="75">
        <f>SUM(V171:V180)</f>
        <v>0</v>
      </c>
      <c r="W169" s="173" t="e">
        <f>(SUM(W171:W180)/SUM(S171:S180))*100</f>
        <v>#DIV/0!</v>
      </c>
      <c r="X169" s="75">
        <f>SUM(X171:X180)</f>
        <v>0</v>
      </c>
      <c r="Y169" s="174" t="e">
        <f>(SUM(Y171:Y180)/SUM(S171:S180))*100</f>
        <v>#DIV/0!</v>
      </c>
      <c r="Z169" s="175">
        <f>SUM(Z171:Z180)</f>
        <v>0</v>
      </c>
      <c r="AA169" s="175"/>
      <c r="AB169" s="175"/>
      <c r="AC169" s="175"/>
      <c r="AD169" s="175"/>
      <c r="AE169" s="73" t="e">
        <f>(SUM(AE171:AE180)/SUM(S171:S180))*100</f>
        <v>#DIV/0!</v>
      </c>
      <c r="AF169" s="176">
        <f>SUM(AF171:AF180)</f>
        <v>0</v>
      </c>
      <c r="AG169" s="177" t="e">
        <f>U169+W169+Y169+AE169</f>
        <v>#DIV/0!</v>
      </c>
      <c r="AH169" s="75">
        <f>SUM(AH171:AH180)</f>
        <v>0</v>
      </c>
      <c r="AI169" s="75"/>
      <c r="AJ169" s="75"/>
      <c r="AK169" s="75"/>
      <c r="AL169" s="75"/>
      <c r="AM169" s="75"/>
      <c r="AN169" s="75"/>
      <c r="AO169" s="99"/>
      <c r="AP169" s="99"/>
      <c r="AQ169" s="100"/>
      <c r="AR169" s="100"/>
      <c r="AS169" s="279"/>
    </row>
    <row r="170" spans="1:45" s="1" customFormat="1" ht="25.5" x14ac:dyDescent="0.25">
      <c r="A170" s="178"/>
      <c r="B170" s="179"/>
      <c r="C170" s="180"/>
      <c r="D170" s="319" t="s">
        <v>21</v>
      </c>
      <c r="E170" s="319"/>
      <c r="F170" s="185">
        <v>90.88</v>
      </c>
      <c r="G170" s="320" t="s">
        <v>50</v>
      </c>
      <c r="H170" s="184"/>
      <c r="I170" s="182">
        <v>91</v>
      </c>
      <c r="J170" s="182"/>
      <c r="K170" s="182"/>
      <c r="L170" s="182"/>
      <c r="M170" s="182"/>
      <c r="N170" s="184"/>
      <c r="O170" s="184"/>
      <c r="P170" s="184"/>
      <c r="Q170" s="184"/>
      <c r="R170" s="184"/>
      <c r="S170" s="321">
        <v>90.86</v>
      </c>
      <c r="T170" s="184"/>
      <c r="U170" s="182"/>
      <c r="V170" s="184"/>
      <c r="W170" s="187"/>
      <c r="X170" s="184"/>
      <c r="Y170" s="186"/>
      <c r="Z170" s="188"/>
      <c r="AA170" s="188"/>
      <c r="AB170" s="188"/>
      <c r="AC170" s="188"/>
      <c r="AD170" s="188"/>
      <c r="AE170" s="182"/>
      <c r="AF170" s="189"/>
      <c r="AG170" s="190"/>
      <c r="AH170" s="184"/>
      <c r="AI170" s="184"/>
      <c r="AJ170" s="184"/>
      <c r="AK170" s="184"/>
      <c r="AL170" s="184"/>
      <c r="AM170" s="184"/>
      <c r="AN170" s="184"/>
      <c r="AO170" s="191"/>
      <c r="AP170" s="191"/>
      <c r="AQ170" s="192"/>
      <c r="AR170" s="192"/>
      <c r="AS170" s="322"/>
    </row>
    <row r="171" spans="1:45" s="1" customFormat="1" ht="24" customHeight="1" x14ac:dyDescent="0.25">
      <c r="A171" s="44"/>
      <c r="B171" s="29">
        <v>1</v>
      </c>
      <c r="C171" s="194" t="s">
        <v>296</v>
      </c>
      <c r="D171" s="86" t="s">
        <v>297</v>
      </c>
      <c r="E171" s="86"/>
      <c r="F171" s="310">
        <v>60</v>
      </c>
      <c r="G171" s="33" t="s">
        <v>84</v>
      </c>
      <c r="H171" s="34">
        <f>990000000/1000</f>
        <v>990000</v>
      </c>
      <c r="I171" s="35"/>
      <c r="J171" s="35"/>
      <c r="K171" s="35"/>
      <c r="L171" s="35"/>
      <c r="M171" s="35"/>
      <c r="N171" s="36"/>
      <c r="O171" s="36"/>
      <c r="P171" s="36"/>
      <c r="Q171" s="36"/>
      <c r="R171" s="36"/>
      <c r="S171" s="110"/>
      <c r="T171" s="254"/>
      <c r="U171" s="88"/>
      <c r="V171" s="36"/>
      <c r="W171" s="89"/>
      <c r="X171" s="36"/>
      <c r="Y171" s="38"/>
      <c r="Z171" s="39"/>
      <c r="AA171" s="39"/>
      <c r="AB171" s="39"/>
      <c r="AC171" s="39"/>
      <c r="AD171" s="39"/>
      <c r="AE171" s="36"/>
      <c r="AF171" s="40"/>
      <c r="AG171" s="43"/>
      <c r="AH171" s="41"/>
      <c r="AI171" s="41"/>
      <c r="AJ171" s="41"/>
      <c r="AK171" s="41"/>
      <c r="AL171" s="41"/>
      <c r="AM171" s="41"/>
      <c r="AN171" s="41"/>
      <c r="AO171" s="42"/>
      <c r="AP171" s="42"/>
      <c r="AQ171" s="43"/>
      <c r="AR171" s="43"/>
      <c r="AS171" s="767"/>
    </row>
    <row r="172" spans="1:45" s="1" customFormat="1" ht="24" customHeight="1" x14ac:dyDescent="0.25">
      <c r="A172" s="44"/>
      <c r="B172" s="29">
        <v>2</v>
      </c>
      <c r="C172" s="194" t="s">
        <v>298</v>
      </c>
      <c r="D172" s="86"/>
      <c r="E172" s="86"/>
      <c r="F172" s="310">
        <v>0</v>
      </c>
      <c r="G172" s="33">
        <v>0</v>
      </c>
      <c r="H172" s="34">
        <v>0</v>
      </c>
      <c r="I172" s="35"/>
      <c r="J172" s="35"/>
      <c r="K172" s="35"/>
      <c r="L172" s="35"/>
      <c r="M172" s="35"/>
      <c r="N172" s="36"/>
      <c r="O172" s="36"/>
      <c r="P172" s="36"/>
      <c r="Q172" s="36"/>
      <c r="R172" s="36"/>
      <c r="S172" s="110"/>
      <c r="T172" s="254"/>
      <c r="U172" s="88"/>
      <c r="V172" s="36"/>
      <c r="W172" s="89"/>
      <c r="X172" s="36"/>
      <c r="Y172" s="38"/>
      <c r="Z172" s="39"/>
      <c r="AA172" s="39"/>
      <c r="AB172" s="39"/>
      <c r="AC172" s="39"/>
      <c r="AD172" s="39"/>
      <c r="AE172" s="36"/>
      <c r="AF172" s="40"/>
      <c r="AG172" s="43"/>
      <c r="AH172" s="41"/>
      <c r="AI172" s="41"/>
      <c r="AJ172" s="41"/>
      <c r="AK172" s="41"/>
      <c r="AL172" s="41"/>
      <c r="AM172" s="41"/>
      <c r="AN172" s="41"/>
      <c r="AO172" s="42"/>
      <c r="AP172" s="42"/>
      <c r="AQ172" s="43"/>
      <c r="AR172" s="43"/>
      <c r="AS172" s="768"/>
    </row>
    <row r="173" spans="1:45" s="1" customFormat="1" ht="24" customHeight="1" x14ac:dyDescent="0.25">
      <c r="A173" s="44"/>
      <c r="B173" s="29">
        <v>3</v>
      </c>
      <c r="C173" s="194" t="s">
        <v>299</v>
      </c>
      <c r="D173" s="86" t="s">
        <v>300</v>
      </c>
      <c r="E173" s="86"/>
      <c r="F173" s="32">
        <v>5</v>
      </c>
      <c r="G173" s="33" t="s">
        <v>157</v>
      </c>
      <c r="H173" s="34">
        <f>2600000000/1000</f>
        <v>2600000</v>
      </c>
      <c r="I173" s="88"/>
      <c r="J173" s="88"/>
      <c r="K173" s="88"/>
      <c r="L173" s="88"/>
      <c r="M173" s="88"/>
      <c r="N173" s="36"/>
      <c r="O173" s="36"/>
      <c r="P173" s="36"/>
      <c r="Q173" s="36"/>
      <c r="R173" s="36"/>
      <c r="S173" s="255"/>
      <c r="T173" s="254"/>
      <c r="U173" s="88"/>
      <c r="V173" s="36"/>
      <c r="W173" s="37"/>
      <c r="X173" s="36"/>
      <c r="Y173" s="38"/>
      <c r="Z173" s="39"/>
      <c r="AA173" s="39"/>
      <c r="AB173" s="39"/>
      <c r="AC173" s="39"/>
      <c r="AD173" s="39"/>
      <c r="AE173" s="36"/>
      <c r="AF173" s="40"/>
      <c r="AG173" s="43"/>
      <c r="AH173" s="41"/>
      <c r="AI173" s="41"/>
      <c r="AJ173" s="41"/>
      <c r="AK173" s="41"/>
      <c r="AL173" s="41"/>
      <c r="AM173" s="41"/>
      <c r="AN173" s="41"/>
      <c r="AO173" s="42"/>
      <c r="AP173" s="42"/>
      <c r="AQ173" s="43"/>
      <c r="AR173" s="43"/>
      <c r="AS173" s="768"/>
    </row>
    <row r="174" spans="1:45" s="1" customFormat="1" ht="24" customHeight="1" x14ac:dyDescent="0.25">
      <c r="A174" s="44"/>
      <c r="B174" s="29">
        <v>4</v>
      </c>
      <c r="C174" s="194" t="s">
        <v>301</v>
      </c>
      <c r="D174" s="86" t="s">
        <v>302</v>
      </c>
      <c r="E174" s="86"/>
      <c r="F174" s="310">
        <v>5</v>
      </c>
      <c r="G174" s="33" t="s">
        <v>157</v>
      </c>
      <c r="H174" s="34">
        <f>3500000000/1000</f>
        <v>3500000</v>
      </c>
      <c r="I174" s="35"/>
      <c r="J174" s="35"/>
      <c r="K174" s="35"/>
      <c r="L174" s="35"/>
      <c r="M174" s="35"/>
      <c r="N174" s="36"/>
      <c r="O174" s="36"/>
      <c r="P174" s="36"/>
      <c r="Q174" s="36"/>
      <c r="R174" s="36"/>
      <c r="S174" s="110"/>
      <c r="T174" s="254"/>
      <c r="U174" s="88"/>
      <c r="V174" s="36"/>
      <c r="W174" s="37"/>
      <c r="X174" s="36"/>
      <c r="Y174" s="38"/>
      <c r="Z174" s="39"/>
      <c r="AA174" s="39"/>
      <c r="AB174" s="39"/>
      <c r="AC174" s="39"/>
      <c r="AD174" s="39"/>
      <c r="AE174" s="171"/>
      <c r="AF174" s="40"/>
      <c r="AG174" s="43"/>
      <c r="AH174" s="41"/>
      <c r="AI174" s="41"/>
      <c r="AJ174" s="41"/>
      <c r="AK174" s="41"/>
      <c r="AL174" s="41"/>
      <c r="AM174" s="41"/>
      <c r="AN174" s="41"/>
      <c r="AO174" s="42"/>
      <c r="AP174" s="42"/>
      <c r="AQ174" s="43"/>
      <c r="AR174" s="43"/>
      <c r="AS174" s="768"/>
    </row>
    <row r="175" spans="1:45" s="1" customFormat="1" ht="24" customHeight="1" x14ac:dyDescent="0.25">
      <c r="A175" s="44"/>
      <c r="B175" s="29">
        <v>5</v>
      </c>
      <c r="C175" s="194" t="s">
        <v>303</v>
      </c>
      <c r="D175" s="86" t="s">
        <v>304</v>
      </c>
      <c r="E175" s="86"/>
      <c r="F175" s="310">
        <v>5</v>
      </c>
      <c r="G175" s="33" t="s">
        <v>157</v>
      </c>
      <c r="H175" s="34">
        <f>2260000000/1000</f>
        <v>2260000</v>
      </c>
      <c r="I175" s="88"/>
      <c r="J175" s="88"/>
      <c r="K175" s="88"/>
      <c r="L175" s="88"/>
      <c r="M175" s="88"/>
      <c r="N175" s="36"/>
      <c r="O175" s="36"/>
      <c r="P175" s="36"/>
      <c r="Q175" s="36"/>
      <c r="R175" s="36"/>
      <c r="S175" s="88"/>
      <c r="T175" s="254"/>
      <c r="U175" s="88"/>
      <c r="V175" s="36"/>
      <c r="W175" s="37"/>
      <c r="X175" s="36"/>
      <c r="Y175" s="38"/>
      <c r="Z175" s="39"/>
      <c r="AA175" s="39"/>
      <c r="AB175" s="39"/>
      <c r="AC175" s="39"/>
      <c r="AD175" s="39"/>
      <c r="AE175" s="171"/>
      <c r="AF175" s="40"/>
      <c r="AG175" s="43"/>
      <c r="AH175" s="41"/>
      <c r="AI175" s="41"/>
      <c r="AJ175" s="41"/>
      <c r="AK175" s="41"/>
      <c r="AL175" s="41"/>
      <c r="AM175" s="41"/>
      <c r="AN175" s="41"/>
      <c r="AO175" s="42"/>
      <c r="AP175" s="42"/>
      <c r="AQ175" s="43"/>
      <c r="AR175" s="43"/>
      <c r="AS175" s="768"/>
    </row>
    <row r="176" spans="1:45" s="1" customFormat="1" ht="25.5" customHeight="1" x14ac:dyDescent="0.25">
      <c r="A176" s="44"/>
      <c r="B176" s="29">
        <v>6</v>
      </c>
      <c r="C176" s="194" t="s">
        <v>305</v>
      </c>
      <c r="D176" s="86" t="s">
        <v>253</v>
      </c>
      <c r="E176" s="86"/>
      <c r="F176" s="310">
        <v>5</v>
      </c>
      <c r="G176" s="33" t="s">
        <v>157</v>
      </c>
      <c r="H176" s="34">
        <f>19950000000/1000</f>
        <v>19950000</v>
      </c>
      <c r="I176" s="35"/>
      <c r="J176" s="35"/>
      <c r="K176" s="35"/>
      <c r="L176" s="35"/>
      <c r="M176" s="35"/>
      <c r="N176" s="36"/>
      <c r="O176" s="36"/>
      <c r="P176" s="36"/>
      <c r="Q176" s="36"/>
      <c r="R176" s="36"/>
      <c r="S176" s="110"/>
      <c r="T176" s="254"/>
      <c r="U176" s="88"/>
      <c r="V176" s="36"/>
      <c r="W176" s="37"/>
      <c r="X176" s="36"/>
      <c r="Y176" s="38"/>
      <c r="Z176" s="39"/>
      <c r="AA176" s="39"/>
      <c r="AB176" s="39"/>
      <c r="AC176" s="39"/>
      <c r="AD176" s="39"/>
      <c r="AE176" s="171"/>
      <c r="AF176" s="40"/>
      <c r="AG176" s="43"/>
      <c r="AH176" s="41"/>
      <c r="AI176" s="41"/>
      <c r="AJ176" s="41"/>
      <c r="AK176" s="41"/>
      <c r="AL176" s="41"/>
      <c r="AM176" s="41"/>
      <c r="AN176" s="41"/>
      <c r="AO176" s="42"/>
      <c r="AP176" s="42"/>
      <c r="AQ176" s="43"/>
      <c r="AR176" s="43"/>
      <c r="AS176" s="768"/>
    </row>
    <row r="177" spans="1:45" s="1" customFormat="1" ht="12" customHeight="1" x14ac:dyDescent="0.25">
      <c r="A177" s="44"/>
      <c r="B177" s="29">
        <v>7</v>
      </c>
      <c r="C177" s="194" t="s">
        <v>306</v>
      </c>
      <c r="D177" s="86"/>
      <c r="E177" s="86"/>
      <c r="F177" s="310">
        <v>0</v>
      </c>
      <c r="G177" s="33">
        <v>0</v>
      </c>
      <c r="H177" s="34">
        <v>0</v>
      </c>
      <c r="I177" s="35"/>
      <c r="J177" s="35"/>
      <c r="K177" s="35"/>
      <c r="L177" s="35"/>
      <c r="M177" s="35"/>
      <c r="N177" s="36"/>
      <c r="O177" s="36"/>
      <c r="P177" s="36"/>
      <c r="Q177" s="36"/>
      <c r="R177" s="36"/>
      <c r="S177" s="110"/>
      <c r="T177" s="254"/>
      <c r="U177" s="88"/>
      <c r="V177" s="36"/>
      <c r="W177" s="37"/>
      <c r="X177" s="36"/>
      <c r="Y177" s="38"/>
      <c r="Z177" s="39"/>
      <c r="AA177" s="39"/>
      <c r="AB177" s="39"/>
      <c r="AC177" s="39"/>
      <c r="AD177" s="39"/>
      <c r="AE177" s="171"/>
      <c r="AF177" s="260"/>
      <c r="AG177" s="43"/>
      <c r="AH177" s="41"/>
      <c r="AI177" s="41"/>
      <c r="AJ177" s="41"/>
      <c r="AK177" s="41"/>
      <c r="AL177" s="41"/>
      <c r="AM177" s="41"/>
      <c r="AN177" s="41"/>
      <c r="AO177" s="42"/>
      <c r="AP177" s="42"/>
      <c r="AQ177" s="43"/>
      <c r="AR177" s="43"/>
      <c r="AS177" s="768"/>
    </row>
    <row r="178" spans="1:45" s="1" customFormat="1" ht="12" customHeight="1" x14ac:dyDescent="0.25">
      <c r="A178" s="44"/>
      <c r="B178" s="29">
        <v>8</v>
      </c>
      <c r="C178" s="194" t="s">
        <v>307</v>
      </c>
      <c r="D178" s="86" t="s">
        <v>308</v>
      </c>
      <c r="E178" s="86"/>
      <c r="F178" s="310">
        <v>60</v>
      </c>
      <c r="G178" s="33" t="s">
        <v>84</v>
      </c>
      <c r="H178" s="34">
        <f>990000000/1000</f>
        <v>990000</v>
      </c>
      <c r="I178" s="35"/>
      <c r="J178" s="35"/>
      <c r="K178" s="35"/>
      <c r="L178" s="35"/>
      <c r="M178" s="35"/>
      <c r="N178" s="36"/>
      <c r="O178" s="36"/>
      <c r="P178" s="36"/>
      <c r="Q178" s="36"/>
      <c r="R178" s="36"/>
      <c r="S178" s="88"/>
      <c r="T178" s="254"/>
      <c r="U178" s="88"/>
      <c r="V178" s="36"/>
      <c r="W178" s="37"/>
      <c r="X178" s="36"/>
      <c r="Y178" s="38"/>
      <c r="Z178" s="39"/>
      <c r="AA178" s="39"/>
      <c r="AB178" s="39"/>
      <c r="AC178" s="39"/>
      <c r="AD178" s="39"/>
      <c r="AE178" s="171"/>
      <c r="AF178" s="40"/>
      <c r="AG178" s="43"/>
      <c r="AH178" s="41"/>
      <c r="AI178" s="41"/>
      <c r="AJ178" s="41"/>
      <c r="AK178" s="41"/>
      <c r="AL178" s="41"/>
      <c r="AM178" s="41"/>
      <c r="AN178" s="41"/>
      <c r="AO178" s="42"/>
      <c r="AP178" s="42"/>
      <c r="AQ178" s="43"/>
      <c r="AR178" s="43"/>
      <c r="AS178" s="768"/>
    </row>
    <row r="179" spans="1:45" s="1" customFormat="1" ht="24" customHeight="1" x14ac:dyDescent="0.25">
      <c r="A179" s="44"/>
      <c r="B179" s="29">
        <v>9</v>
      </c>
      <c r="C179" s="194" t="s">
        <v>309</v>
      </c>
      <c r="D179" s="86" t="s">
        <v>310</v>
      </c>
      <c r="E179" s="86"/>
      <c r="F179" s="310">
        <v>5</v>
      </c>
      <c r="G179" s="33" t="s">
        <v>157</v>
      </c>
      <c r="H179" s="34">
        <f>2300000000/1000</f>
        <v>2300000</v>
      </c>
      <c r="I179" s="88"/>
      <c r="J179" s="88"/>
      <c r="K179" s="88"/>
      <c r="L179" s="88"/>
      <c r="M179" s="88"/>
      <c r="N179" s="36"/>
      <c r="O179" s="36"/>
      <c r="P179" s="36"/>
      <c r="Q179" s="36"/>
      <c r="R179" s="36"/>
      <c r="S179" s="88"/>
      <c r="T179" s="254"/>
      <c r="U179" s="88"/>
      <c r="V179" s="36"/>
      <c r="W179" s="37"/>
      <c r="X179" s="36"/>
      <c r="Y179" s="38"/>
      <c r="Z179" s="39"/>
      <c r="AA179" s="39"/>
      <c r="AB179" s="39"/>
      <c r="AC179" s="39"/>
      <c r="AD179" s="39"/>
      <c r="AE179" s="171"/>
      <c r="AF179" s="40"/>
      <c r="AG179" s="43"/>
      <c r="AH179" s="41"/>
      <c r="AI179" s="41"/>
      <c r="AJ179" s="41"/>
      <c r="AK179" s="41"/>
      <c r="AL179" s="41"/>
      <c r="AM179" s="41"/>
      <c r="AN179" s="41"/>
      <c r="AO179" s="42"/>
      <c r="AP179" s="42"/>
      <c r="AQ179" s="43"/>
      <c r="AR179" s="43"/>
      <c r="AS179" s="768"/>
    </row>
    <row r="180" spans="1:45" s="1" customFormat="1" ht="24" customHeight="1" x14ac:dyDescent="0.25">
      <c r="A180" s="46"/>
      <c r="B180" s="102">
        <v>10</v>
      </c>
      <c r="C180" s="196" t="s">
        <v>311</v>
      </c>
      <c r="D180" s="90" t="s">
        <v>253</v>
      </c>
      <c r="E180" s="90"/>
      <c r="F180" s="323">
        <v>5</v>
      </c>
      <c r="G180" s="50" t="s">
        <v>157</v>
      </c>
      <c r="H180" s="51">
        <f>2060000000/1000</f>
        <v>2060000</v>
      </c>
      <c r="I180" s="93"/>
      <c r="J180" s="93"/>
      <c r="K180" s="93"/>
      <c r="L180" s="93"/>
      <c r="M180" s="93"/>
      <c r="N180" s="53"/>
      <c r="O180" s="53"/>
      <c r="P180" s="53"/>
      <c r="Q180" s="53"/>
      <c r="R180" s="53"/>
      <c r="S180" s="93"/>
      <c r="T180" s="324"/>
      <c r="U180" s="93"/>
      <c r="V180" s="53"/>
      <c r="W180" s="60"/>
      <c r="X180" s="53"/>
      <c r="Y180" s="56"/>
      <c r="Z180" s="61"/>
      <c r="AA180" s="61"/>
      <c r="AB180" s="61"/>
      <c r="AC180" s="61"/>
      <c r="AD180" s="61"/>
      <c r="AE180" s="197"/>
      <c r="AF180" s="55"/>
      <c r="AG180" s="59"/>
      <c r="AH180" s="57"/>
      <c r="AI180" s="57"/>
      <c r="AJ180" s="57"/>
      <c r="AK180" s="57"/>
      <c r="AL180" s="57"/>
      <c r="AM180" s="57"/>
      <c r="AN180" s="57"/>
      <c r="AO180" s="58"/>
      <c r="AP180" s="58"/>
      <c r="AQ180" s="59"/>
      <c r="AR180" s="59"/>
      <c r="AS180" s="769"/>
    </row>
    <row r="181" spans="1:45" s="1" customFormat="1" ht="12.75" x14ac:dyDescent="0.25">
      <c r="A181" s="755" t="s">
        <v>45</v>
      </c>
      <c r="B181" s="756"/>
      <c r="C181" s="756"/>
      <c r="D181" s="756"/>
      <c r="E181" s="756"/>
      <c r="F181" s="756"/>
      <c r="G181" s="756"/>
      <c r="H181" s="756"/>
      <c r="I181" s="756"/>
      <c r="J181" s="756"/>
      <c r="K181" s="756"/>
      <c r="L181" s="756"/>
      <c r="M181" s="756"/>
      <c r="N181" s="756"/>
      <c r="O181" s="756"/>
      <c r="P181" s="756"/>
      <c r="Q181" s="756"/>
      <c r="R181" s="756"/>
      <c r="S181" s="756"/>
      <c r="T181" s="756"/>
      <c r="U181" s="63" t="e">
        <f>U169</f>
        <v>#DIV/0!</v>
      </c>
      <c r="V181" s="64" t="e">
        <f>V169/T169*100</f>
        <v>#DIV/0!</v>
      </c>
      <c r="W181" s="65" t="e">
        <f>W169</f>
        <v>#DIV/0!</v>
      </c>
      <c r="X181" s="66" t="e">
        <f>X169/T169*100</f>
        <v>#DIV/0!</v>
      </c>
      <c r="Y181" s="67" t="e">
        <f>Y169</f>
        <v>#DIV/0!</v>
      </c>
      <c r="Z181" s="66" t="e">
        <f>Z169/T169*100</f>
        <v>#DIV/0!</v>
      </c>
      <c r="AA181" s="66"/>
      <c r="AB181" s="66"/>
      <c r="AC181" s="66"/>
      <c r="AD181" s="66"/>
      <c r="AE181" s="66" t="e">
        <f>AE169</f>
        <v>#DIV/0!</v>
      </c>
      <c r="AF181" s="65" t="e">
        <f>AF169/T169*100</f>
        <v>#DIV/0!</v>
      </c>
      <c r="AG181" s="67" t="e">
        <f>(U181+W181+Y181+AE181)</f>
        <v>#DIV/0!</v>
      </c>
      <c r="AH181" s="66" t="e">
        <f>V181+X181+Z181+AF181</f>
        <v>#DIV/0!</v>
      </c>
      <c r="AI181" s="113"/>
      <c r="AJ181" s="113"/>
      <c r="AK181" s="113"/>
      <c r="AL181" s="113"/>
      <c r="AM181" s="113"/>
      <c r="AN181" s="113"/>
      <c r="AO181" s="114"/>
      <c r="AP181" s="114"/>
      <c r="AQ181" s="115">
        <f>SUM(AQ171:AQ180)/10</f>
        <v>0</v>
      </c>
      <c r="AR181" s="115">
        <f>SUM(AR171:AR180)/10</f>
        <v>0</v>
      </c>
      <c r="AS181" s="70"/>
    </row>
    <row r="182" spans="1:45" s="1" customFormat="1" ht="12.75" x14ac:dyDescent="0.25">
      <c r="A182" s="755" t="s">
        <v>46</v>
      </c>
      <c r="B182" s="756"/>
      <c r="C182" s="756"/>
      <c r="D182" s="756"/>
      <c r="E182" s="756"/>
      <c r="F182" s="756"/>
      <c r="G182" s="756"/>
      <c r="H182" s="756"/>
      <c r="I182" s="756"/>
      <c r="J182" s="756"/>
      <c r="K182" s="756"/>
      <c r="L182" s="756"/>
      <c r="M182" s="756"/>
      <c r="N182" s="756"/>
      <c r="O182" s="756"/>
      <c r="P182" s="756"/>
      <c r="Q182" s="756"/>
      <c r="R182" s="756"/>
      <c r="S182" s="756"/>
      <c r="T182" s="756"/>
      <c r="U182" s="71"/>
      <c r="V182" s="71"/>
      <c r="W182" s="65" t="s">
        <v>52</v>
      </c>
      <c r="X182" s="71" t="s">
        <v>56</v>
      </c>
      <c r="Y182" s="67"/>
      <c r="Z182" s="71"/>
      <c r="AA182" s="71"/>
      <c r="AB182" s="71"/>
      <c r="AC182" s="71"/>
      <c r="AD182" s="71"/>
      <c r="AE182" s="71"/>
      <c r="AF182" s="71"/>
      <c r="AG182" s="71" t="s">
        <v>52</v>
      </c>
      <c r="AH182" s="71" t="s">
        <v>56</v>
      </c>
      <c r="AI182" s="71"/>
      <c r="AJ182" s="71"/>
      <c r="AK182" s="71"/>
      <c r="AL182" s="71"/>
      <c r="AM182" s="71"/>
      <c r="AN182" s="71"/>
      <c r="AO182" s="71"/>
      <c r="AP182" s="68"/>
      <c r="AQ182" s="68"/>
      <c r="AR182" s="68"/>
      <c r="AS182" s="70"/>
    </row>
    <row r="183" spans="1:45" s="1" customFormat="1" ht="24" customHeight="1" x14ac:dyDescent="0.25">
      <c r="A183" s="18">
        <v>13</v>
      </c>
      <c r="B183" s="19" t="s">
        <v>80</v>
      </c>
      <c r="C183" s="20" t="s">
        <v>2</v>
      </c>
      <c r="D183" s="276"/>
      <c r="E183" s="276"/>
      <c r="F183" s="73">
        <f>(SUM(F186:F193)/SUM(F186:F193))*100</f>
        <v>100</v>
      </c>
      <c r="G183" s="202" t="s">
        <v>50</v>
      </c>
      <c r="H183" s="75">
        <f>SUM(H186:H193)</f>
        <v>7505000</v>
      </c>
      <c r="I183" s="73" t="e">
        <f>(SUM(I186:I193)/SUM(I186:I193))*100</f>
        <v>#DIV/0!</v>
      </c>
      <c r="J183" s="73"/>
      <c r="K183" s="73"/>
      <c r="L183" s="73"/>
      <c r="M183" s="73"/>
      <c r="N183" s="75">
        <f>SUM(N186:N193)</f>
        <v>0</v>
      </c>
      <c r="O183" s="75"/>
      <c r="P183" s="75"/>
      <c r="Q183" s="75"/>
      <c r="R183" s="75"/>
      <c r="S183" s="174" t="e">
        <f>(SUM(S186:S193)/SUM(S186:S193))*100</f>
        <v>#DIV/0!</v>
      </c>
      <c r="T183" s="75">
        <f>SUM(T186:T193)</f>
        <v>0</v>
      </c>
      <c r="U183" s="73" t="e">
        <f>(SUM(U186:U193)/SUM(S186:S193))*100</f>
        <v>#DIV/0!</v>
      </c>
      <c r="V183" s="75">
        <f>SUM(V186:V193)</f>
        <v>0</v>
      </c>
      <c r="W183" s="173" t="e">
        <f>(SUM(W186:W193)/SUM(S186:S193))*100</f>
        <v>#DIV/0!</v>
      </c>
      <c r="X183" s="75">
        <f>SUM(X186:X193)</f>
        <v>0</v>
      </c>
      <c r="Y183" s="174" t="e">
        <f>(SUM(Y186:Y193)/SUM(S186:S193))*100</f>
        <v>#DIV/0!</v>
      </c>
      <c r="Z183" s="175">
        <f>SUM(Z186:Z193)</f>
        <v>0</v>
      </c>
      <c r="AA183" s="175"/>
      <c r="AB183" s="175"/>
      <c r="AC183" s="175"/>
      <c r="AD183" s="175"/>
      <c r="AE183" s="73" t="e">
        <f>(SUM(AE186:AE193)/SUM(S186:S193))*100</f>
        <v>#DIV/0!</v>
      </c>
      <c r="AF183" s="176">
        <f>SUM(AF186:AF193)</f>
        <v>0</v>
      </c>
      <c r="AG183" s="177" t="e">
        <f>U183+W183+Y183+AE183</f>
        <v>#DIV/0!</v>
      </c>
      <c r="AH183" s="75">
        <f>SUM(AH186:AH193)</f>
        <v>0</v>
      </c>
      <c r="AI183" s="75"/>
      <c r="AJ183" s="75"/>
      <c r="AK183" s="75"/>
      <c r="AL183" s="75"/>
      <c r="AM183" s="75"/>
      <c r="AN183" s="75"/>
      <c r="AO183" s="277"/>
      <c r="AP183" s="277"/>
      <c r="AQ183" s="278"/>
      <c r="AR183" s="278"/>
      <c r="AS183" s="279"/>
    </row>
    <row r="184" spans="1:45" s="1" customFormat="1" ht="12.75" x14ac:dyDescent="0.25">
      <c r="A184" s="178"/>
      <c r="B184" s="179"/>
      <c r="C184" s="180"/>
      <c r="D184" s="319" t="s">
        <v>22</v>
      </c>
      <c r="E184" s="319"/>
      <c r="F184" s="185">
        <v>61.31</v>
      </c>
      <c r="G184" s="320" t="s">
        <v>53</v>
      </c>
      <c r="H184" s="184"/>
      <c r="I184" s="182">
        <v>85</v>
      </c>
      <c r="J184" s="182"/>
      <c r="K184" s="182"/>
      <c r="L184" s="182"/>
      <c r="M184" s="182"/>
      <c r="N184" s="184"/>
      <c r="O184" s="184"/>
      <c r="P184" s="184"/>
      <c r="Q184" s="184"/>
      <c r="R184" s="184"/>
      <c r="S184" s="321">
        <v>61.24</v>
      </c>
      <c r="T184" s="184"/>
      <c r="U184" s="182"/>
      <c r="V184" s="184"/>
      <c r="W184" s="187"/>
      <c r="X184" s="184"/>
      <c r="Y184" s="186"/>
      <c r="Z184" s="188"/>
      <c r="AA184" s="188"/>
      <c r="AB184" s="188"/>
      <c r="AC184" s="188"/>
      <c r="AD184" s="188"/>
      <c r="AE184" s="182"/>
      <c r="AF184" s="189"/>
      <c r="AG184" s="190"/>
      <c r="AH184" s="184"/>
      <c r="AI184" s="184"/>
      <c r="AJ184" s="184"/>
      <c r="AK184" s="184"/>
      <c r="AL184" s="184"/>
      <c r="AM184" s="184"/>
      <c r="AN184" s="184"/>
      <c r="AO184" s="325"/>
      <c r="AP184" s="325"/>
      <c r="AQ184" s="321"/>
      <c r="AR184" s="321"/>
      <c r="AS184" s="322"/>
    </row>
    <row r="185" spans="1:45" s="1" customFormat="1" ht="12.75" x14ac:dyDescent="0.25">
      <c r="A185" s="178"/>
      <c r="B185" s="179"/>
      <c r="C185" s="180"/>
      <c r="D185" s="319" t="s">
        <v>23</v>
      </c>
      <c r="E185" s="319"/>
      <c r="F185" s="185">
        <v>59.52</v>
      </c>
      <c r="G185" s="320" t="s">
        <v>53</v>
      </c>
      <c r="H185" s="184"/>
      <c r="I185" s="185">
        <v>67.97</v>
      </c>
      <c r="J185" s="185"/>
      <c r="K185" s="185"/>
      <c r="L185" s="185"/>
      <c r="M185" s="185"/>
      <c r="N185" s="184"/>
      <c r="O185" s="184"/>
      <c r="P185" s="184"/>
      <c r="Q185" s="184"/>
      <c r="R185" s="184"/>
      <c r="S185" s="321">
        <v>59.49</v>
      </c>
      <c r="T185" s="184"/>
      <c r="U185" s="182"/>
      <c r="V185" s="184"/>
      <c r="W185" s="187"/>
      <c r="X185" s="184"/>
      <c r="Y185" s="186"/>
      <c r="Z185" s="188"/>
      <c r="AA185" s="188"/>
      <c r="AB185" s="188"/>
      <c r="AC185" s="188"/>
      <c r="AD185" s="188"/>
      <c r="AE185" s="182"/>
      <c r="AF185" s="189"/>
      <c r="AG185" s="190"/>
      <c r="AH185" s="184"/>
      <c r="AI185" s="184"/>
      <c r="AJ185" s="184"/>
      <c r="AK185" s="184"/>
      <c r="AL185" s="184"/>
      <c r="AM185" s="184"/>
      <c r="AN185" s="184"/>
      <c r="AO185" s="325"/>
      <c r="AP185" s="325"/>
      <c r="AQ185" s="321"/>
      <c r="AR185" s="321"/>
      <c r="AS185" s="322"/>
    </row>
    <row r="186" spans="1:45" s="1" customFormat="1" ht="24" customHeight="1" x14ac:dyDescent="0.25">
      <c r="A186" s="44"/>
      <c r="B186" s="29">
        <v>1</v>
      </c>
      <c r="C186" s="194" t="s">
        <v>312</v>
      </c>
      <c r="D186" s="86" t="s">
        <v>313</v>
      </c>
      <c r="E186" s="86"/>
      <c r="F186" s="310">
        <v>5</v>
      </c>
      <c r="G186" s="33" t="s">
        <v>157</v>
      </c>
      <c r="H186" s="34">
        <f>1350000000/1000</f>
        <v>1350000</v>
      </c>
      <c r="I186" s="88"/>
      <c r="J186" s="88"/>
      <c r="K186" s="88"/>
      <c r="L186" s="88"/>
      <c r="M186" s="88"/>
      <c r="N186" s="36"/>
      <c r="O186" s="36"/>
      <c r="P186" s="36"/>
      <c r="Q186" s="36"/>
      <c r="R186" s="36"/>
      <c r="S186" s="88"/>
      <c r="T186" s="34"/>
      <c r="U186" s="88"/>
      <c r="V186" s="36"/>
      <c r="W186" s="37"/>
      <c r="X186" s="36"/>
      <c r="Y186" s="38"/>
      <c r="Z186" s="39"/>
      <c r="AA186" s="39"/>
      <c r="AB186" s="39"/>
      <c r="AC186" s="39"/>
      <c r="AD186" s="39"/>
      <c r="AE186" s="171"/>
      <c r="AF186" s="40"/>
      <c r="AG186" s="43"/>
      <c r="AH186" s="41"/>
      <c r="AI186" s="41"/>
      <c r="AJ186" s="41"/>
      <c r="AK186" s="41"/>
      <c r="AL186" s="41"/>
      <c r="AM186" s="41"/>
      <c r="AN186" s="41"/>
      <c r="AO186" s="42"/>
      <c r="AP186" s="42"/>
      <c r="AQ186" s="43"/>
      <c r="AR186" s="43"/>
      <c r="AS186" s="767"/>
    </row>
    <row r="187" spans="1:45" s="1" customFormat="1" ht="24" customHeight="1" x14ac:dyDescent="0.25">
      <c r="A187" s="44"/>
      <c r="B187" s="29">
        <v>2</v>
      </c>
      <c r="C187" s="194" t="s">
        <v>314</v>
      </c>
      <c r="D187" s="86"/>
      <c r="E187" s="86"/>
      <c r="F187" s="310">
        <v>0</v>
      </c>
      <c r="G187" s="33">
        <v>0</v>
      </c>
      <c r="H187" s="34">
        <v>0</v>
      </c>
      <c r="I187" s="88"/>
      <c r="J187" s="88"/>
      <c r="K187" s="88"/>
      <c r="L187" s="88"/>
      <c r="M187" s="88"/>
      <c r="N187" s="36"/>
      <c r="O187" s="36"/>
      <c r="P187" s="36"/>
      <c r="Q187" s="36"/>
      <c r="R187" s="36"/>
      <c r="S187" s="88"/>
      <c r="T187" s="34"/>
      <c r="U187" s="88"/>
      <c r="V187" s="36"/>
      <c r="W187" s="37"/>
      <c r="X187" s="36"/>
      <c r="Y187" s="38"/>
      <c r="Z187" s="39"/>
      <c r="AA187" s="39"/>
      <c r="AB187" s="39"/>
      <c r="AC187" s="39"/>
      <c r="AD187" s="39"/>
      <c r="AE187" s="171"/>
      <c r="AF187" s="40"/>
      <c r="AG187" s="43"/>
      <c r="AH187" s="41"/>
      <c r="AI187" s="41"/>
      <c r="AJ187" s="41"/>
      <c r="AK187" s="41"/>
      <c r="AL187" s="41"/>
      <c r="AM187" s="41"/>
      <c r="AN187" s="41"/>
      <c r="AO187" s="42"/>
      <c r="AP187" s="42"/>
      <c r="AQ187" s="43"/>
      <c r="AR187" s="43"/>
      <c r="AS187" s="768"/>
    </row>
    <row r="188" spans="1:45" s="1" customFormat="1" ht="24" customHeight="1" x14ac:dyDescent="0.25">
      <c r="A188" s="44"/>
      <c r="B188" s="29">
        <v>3</v>
      </c>
      <c r="C188" s="194" t="s">
        <v>315</v>
      </c>
      <c r="D188" s="86"/>
      <c r="E188" s="86"/>
      <c r="F188" s="310">
        <v>0</v>
      </c>
      <c r="G188" s="33">
        <v>0</v>
      </c>
      <c r="H188" s="34">
        <v>0</v>
      </c>
      <c r="I188" s="88"/>
      <c r="J188" s="88"/>
      <c r="K188" s="88"/>
      <c r="L188" s="88"/>
      <c r="M188" s="88"/>
      <c r="N188" s="36"/>
      <c r="O188" s="36"/>
      <c r="P188" s="36"/>
      <c r="Q188" s="36"/>
      <c r="R188" s="36"/>
      <c r="S188" s="88"/>
      <c r="T188" s="34"/>
      <c r="U188" s="88"/>
      <c r="V188" s="36"/>
      <c r="W188" s="37"/>
      <c r="X188" s="36"/>
      <c r="Y188" s="38"/>
      <c r="Z188" s="39"/>
      <c r="AA188" s="39"/>
      <c r="AB188" s="39"/>
      <c r="AC188" s="39"/>
      <c r="AD188" s="39"/>
      <c r="AE188" s="171"/>
      <c r="AF188" s="40"/>
      <c r="AG188" s="43"/>
      <c r="AH188" s="41"/>
      <c r="AI188" s="41"/>
      <c r="AJ188" s="41"/>
      <c r="AK188" s="41"/>
      <c r="AL188" s="41"/>
      <c r="AM188" s="41"/>
      <c r="AN188" s="41"/>
      <c r="AO188" s="42"/>
      <c r="AP188" s="42"/>
      <c r="AQ188" s="43"/>
      <c r="AR188" s="43"/>
      <c r="AS188" s="768"/>
    </row>
    <row r="189" spans="1:45" s="1" customFormat="1" ht="24" customHeight="1" x14ac:dyDescent="0.25">
      <c r="A189" s="44"/>
      <c r="B189" s="29">
        <v>4</v>
      </c>
      <c r="C189" s="194" t="s">
        <v>316</v>
      </c>
      <c r="D189" s="86" t="s">
        <v>317</v>
      </c>
      <c r="E189" s="86"/>
      <c r="F189" s="310">
        <v>5</v>
      </c>
      <c r="G189" s="33" t="s">
        <v>157</v>
      </c>
      <c r="H189" s="34">
        <f>350000000/1000</f>
        <v>350000</v>
      </c>
      <c r="I189" s="88"/>
      <c r="J189" s="88"/>
      <c r="K189" s="88"/>
      <c r="L189" s="88"/>
      <c r="M189" s="88"/>
      <c r="N189" s="36"/>
      <c r="O189" s="36"/>
      <c r="P189" s="36"/>
      <c r="Q189" s="36"/>
      <c r="R189" s="36"/>
      <c r="S189" s="88"/>
      <c r="T189" s="34"/>
      <c r="U189" s="88"/>
      <c r="V189" s="36"/>
      <c r="W189" s="37"/>
      <c r="X189" s="36"/>
      <c r="Y189" s="38"/>
      <c r="Z189" s="39"/>
      <c r="AA189" s="39"/>
      <c r="AB189" s="39"/>
      <c r="AC189" s="39"/>
      <c r="AD189" s="39"/>
      <c r="AE189" s="171"/>
      <c r="AF189" s="40"/>
      <c r="AG189" s="43"/>
      <c r="AH189" s="41"/>
      <c r="AI189" s="41"/>
      <c r="AJ189" s="41"/>
      <c r="AK189" s="41"/>
      <c r="AL189" s="41"/>
      <c r="AM189" s="41"/>
      <c r="AN189" s="41"/>
      <c r="AO189" s="42"/>
      <c r="AP189" s="42"/>
      <c r="AQ189" s="43"/>
      <c r="AR189" s="43"/>
      <c r="AS189" s="768"/>
    </row>
    <row r="190" spans="1:45" s="1" customFormat="1" ht="24" customHeight="1" x14ac:dyDescent="0.25">
      <c r="A190" s="44"/>
      <c r="B190" s="29">
        <v>5</v>
      </c>
      <c r="C190" s="194" t="s">
        <v>318</v>
      </c>
      <c r="D190" s="86" t="s">
        <v>319</v>
      </c>
      <c r="E190" s="86"/>
      <c r="F190" s="310">
        <v>5</v>
      </c>
      <c r="G190" s="33" t="s">
        <v>157</v>
      </c>
      <c r="H190" s="34">
        <f>3160000000/1000</f>
        <v>3160000</v>
      </c>
      <c r="I190" s="35"/>
      <c r="J190" s="35"/>
      <c r="K190" s="35"/>
      <c r="L190" s="35"/>
      <c r="M190" s="35"/>
      <c r="N190" s="36"/>
      <c r="O190" s="36"/>
      <c r="P190" s="36"/>
      <c r="Q190" s="36"/>
      <c r="R190" s="36"/>
      <c r="S190" s="110"/>
      <c r="T190" s="34"/>
      <c r="U190" s="35"/>
      <c r="V190" s="36"/>
      <c r="W190" s="37"/>
      <c r="X190" s="36"/>
      <c r="Y190" s="38"/>
      <c r="Z190" s="39"/>
      <c r="AA190" s="39"/>
      <c r="AB190" s="39"/>
      <c r="AC190" s="39"/>
      <c r="AD190" s="39"/>
      <c r="AE190" s="36"/>
      <c r="AF190" s="40"/>
      <c r="AG190" s="43"/>
      <c r="AH190" s="41"/>
      <c r="AI190" s="41"/>
      <c r="AJ190" s="41"/>
      <c r="AK190" s="41"/>
      <c r="AL190" s="41"/>
      <c r="AM190" s="41"/>
      <c r="AN190" s="41"/>
      <c r="AO190" s="42"/>
      <c r="AP190" s="42"/>
      <c r="AQ190" s="43"/>
      <c r="AR190" s="43"/>
      <c r="AS190" s="768"/>
    </row>
    <row r="191" spans="1:45" s="1" customFormat="1" ht="24" customHeight="1" x14ac:dyDescent="0.25">
      <c r="A191" s="44"/>
      <c r="B191" s="29">
        <v>6</v>
      </c>
      <c r="C191" s="194" t="s">
        <v>320</v>
      </c>
      <c r="D191" s="86" t="s">
        <v>321</v>
      </c>
      <c r="E191" s="86"/>
      <c r="F191" s="310">
        <v>5</v>
      </c>
      <c r="G191" s="33" t="s">
        <v>157</v>
      </c>
      <c r="H191" s="34">
        <f>700000000/1000</f>
        <v>700000</v>
      </c>
      <c r="I191" s="88"/>
      <c r="J191" s="88"/>
      <c r="K191" s="88"/>
      <c r="L191" s="88"/>
      <c r="M191" s="88"/>
      <c r="N191" s="36"/>
      <c r="O191" s="36"/>
      <c r="P191" s="36"/>
      <c r="Q191" s="36"/>
      <c r="R191" s="36"/>
      <c r="S191" s="110"/>
      <c r="T191" s="34"/>
      <c r="U191" s="88"/>
      <c r="V191" s="36"/>
      <c r="W191" s="37"/>
      <c r="X191" s="36"/>
      <c r="Y191" s="38"/>
      <c r="Z191" s="39"/>
      <c r="AA191" s="39"/>
      <c r="AB191" s="39"/>
      <c r="AC191" s="39"/>
      <c r="AD191" s="39"/>
      <c r="AE191" s="171"/>
      <c r="AF191" s="40"/>
      <c r="AG191" s="43"/>
      <c r="AH191" s="41"/>
      <c r="AI191" s="41"/>
      <c r="AJ191" s="41"/>
      <c r="AK191" s="41"/>
      <c r="AL191" s="41"/>
      <c r="AM191" s="41"/>
      <c r="AN191" s="41"/>
      <c r="AO191" s="42"/>
      <c r="AP191" s="42"/>
      <c r="AQ191" s="43"/>
      <c r="AR191" s="43"/>
      <c r="AS191" s="768"/>
    </row>
    <row r="192" spans="1:45" s="1" customFormat="1" ht="24" customHeight="1" x14ac:dyDescent="0.25">
      <c r="A192" s="44"/>
      <c r="B192" s="29">
        <v>7</v>
      </c>
      <c r="C192" s="194" t="s">
        <v>240</v>
      </c>
      <c r="D192" s="86" t="s">
        <v>322</v>
      </c>
      <c r="E192" s="86"/>
      <c r="F192" s="310">
        <v>60</v>
      </c>
      <c r="G192" s="33" t="s">
        <v>84</v>
      </c>
      <c r="H192" s="34">
        <f>435000000/1000</f>
        <v>435000</v>
      </c>
      <c r="I192" s="35"/>
      <c r="J192" s="35"/>
      <c r="K192" s="35"/>
      <c r="L192" s="35"/>
      <c r="M192" s="35"/>
      <c r="N192" s="36"/>
      <c r="O192" s="36"/>
      <c r="P192" s="36"/>
      <c r="Q192" s="36"/>
      <c r="R192" s="36"/>
      <c r="S192" s="88"/>
      <c r="T192" s="34"/>
      <c r="U192" s="88"/>
      <c r="V192" s="36"/>
      <c r="W192" s="37"/>
      <c r="X192" s="36"/>
      <c r="Y192" s="38"/>
      <c r="Z192" s="39"/>
      <c r="AA192" s="39"/>
      <c r="AB192" s="39"/>
      <c r="AC192" s="39"/>
      <c r="AD192" s="39"/>
      <c r="AE192" s="171"/>
      <c r="AF192" s="40"/>
      <c r="AG192" s="43"/>
      <c r="AH192" s="41"/>
      <c r="AI192" s="41"/>
      <c r="AJ192" s="41"/>
      <c r="AK192" s="41"/>
      <c r="AL192" s="41"/>
      <c r="AM192" s="41"/>
      <c r="AN192" s="41"/>
      <c r="AO192" s="42"/>
      <c r="AP192" s="42"/>
      <c r="AQ192" s="43"/>
      <c r="AR192" s="43"/>
      <c r="AS192" s="768"/>
    </row>
    <row r="193" spans="1:45" s="1" customFormat="1" ht="24" customHeight="1" x14ac:dyDescent="0.25">
      <c r="A193" s="46"/>
      <c r="B193" s="29">
        <v>8</v>
      </c>
      <c r="C193" s="196" t="s">
        <v>323</v>
      </c>
      <c r="D193" s="90" t="s">
        <v>324</v>
      </c>
      <c r="E193" s="90"/>
      <c r="F193" s="323">
        <v>30</v>
      </c>
      <c r="G193" s="50" t="s">
        <v>162</v>
      </c>
      <c r="H193" s="51">
        <f>1510000000/1000</f>
        <v>1510000</v>
      </c>
      <c r="I193" s="52"/>
      <c r="J193" s="52"/>
      <c r="K193" s="52"/>
      <c r="L193" s="52"/>
      <c r="M193" s="52"/>
      <c r="N193" s="53"/>
      <c r="O193" s="53"/>
      <c r="P193" s="53"/>
      <c r="Q193" s="53"/>
      <c r="R193" s="53"/>
      <c r="S193" s="104"/>
      <c r="T193" s="51"/>
      <c r="U193" s="52"/>
      <c r="V193" s="53"/>
      <c r="W193" s="60"/>
      <c r="X193" s="53"/>
      <c r="Y193" s="56"/>
      <c r="Z193" s="61"/>
      <c r="AA193" s="61"/>
      <c r="AB193" s="61"/>
      <c r="AC193" s="61"/>
      <c r="AD193" s="61"/>
      <c r="AE193" s="53"/>
      <c r="AF193" s="55"/>
      <c r="AG193" s="59"/>
      <c r="AH193" s="57"/>
      <c r="AI193" s="57"/>
      <c r="AJ193" s="57"/>
      <c r="AK193" s="57"/>
      <c r="AL193" s="57"/>
      <c r="AM193" s="57"/>
      <c r="AN193" s="57"/>
      <c r="AO193" s="58"/>
      <c r="AP193" s="58"/>
      <c r="AQ193" s="59"/>
      <c r="AR193" s="59"/>
      <c r="AS193" s="769"/>
    </row>
    <row r="194" spans="1:45" s="1" customFormat="1" ht="12.75" x14ac:dyDescent="0.25">
      <c r="A194" s="755" t="s">
        <v>45</v>
      </c>
      <c r="B194" s="756"/>
      <c r="C194" s="756"/>
      <c r="D194" s="756"/>
      <c r="E194" s="756"/>
      <c r="F194" s="756"/>
      <c r="G194" s="756"/>
      <c r="H194" s="756"/>
      <c r="I194" s="756"/>
      <c r="J194" s="756"/>
      <c r="K194" s="756"/>
      <c r="L194" s="756"/>
      <c r="M194" s="756"/>
      <c r="N194" s="756"/>
      <c r="O194" s="756"/>
      <c r="P194" s="756"/>
      <c r="Q194" s="756"/>
      <c r="R194" s="756"/>
      <c r="S194" s="756"/>
      <c r="T194" s="756"/>
      <c r="U194" s="63" t="e">
        <f>U183</f>
        <v>#DIV/0!</v>
      </c>
      <c r="V194" s="64" t="e">
        <f>V183/T183*100</f>
        <v>#DIV/0!</v>
      </c>
      <c r="W194" s="65" t="e">
        <f>W183</f>
        <v>#DIV/0!</v>
      </c>
      <c r="X194" s="66" t="e">
        <f>X183/T183*100</f>
        <v>#DIV/0!</v>
      </c>
      <c r="Y194" s="67" t="e">
        <f>Y183</f>
        <v>#DIV/0!</v>
      </c>
      <c r="Z194" s="66" t="e">
        <f>Z183/T183*100</f>
        <v>#DIV/0!</v>
      </c>
      <c r="AA194" s="66"/>
      <c r="AB194" s="66"/>
      <c r="AC194" s="66"/>
      <c r="AD194" s="66"/>
      <c r="AE194" s="66" t="e">
        <f>AE183</f>
        <v>#DIV/0!</v>
      </c>
      <c r="AF194" s="65" t="e">
        <f>AF183/T183*100</f>
        <v>#DIV/0!</v>
      </c>
      <c r="AG194" s="67" t="e">
        <f>(U194+W194+Y194+AE194)</f>
        <v>#DIV/0!</v>
      </c>
      <c r="AH194" s="66" t="e">
        <f>V194+X194+Z194+AF194</f>
        <v>#DIV/0!</v>
      </c>
      <c r="AI194" s="113"/>
      <c r="AJ194" s="113"/>
      <c r="AK194" s="113"/>
      <c r="AL194" s="113"/>
      <c r="AM194" s="113"/>
      <c r="AN194" s="113"/>
      <c r="AO194" s="114"/>
      <c r="AP194" s="114"/>
      <c r="AQ194" s="115">
        <f>SUM(AQ186:AQ193)/8</f>
        <v>0</v>
      </c>
      <c r="AR194" s="115">
        <f>SUM(AR186:AR193)/8</f>
        <v>0</v>
      </c>
      <c r="AS194" s="70"/>
    </row>
    <row r="195" spans="1:45" s="1" customFormat="1" ht="12.75" x14ac:dyDescent="0.25">
      <c r="A195" s="755" t="s">
        <v>46</v>
      </c>
      <c r="B195" s="756"/>
      <c r="C195" s="756"/>
      <c r="D195" s="756"/>
      <c r="E195" s="756"/>
      <c r="F195" s="756"/>
      <c r="G195" s="756"/>
      <c r="H195" s="756"/>
      <c r="I195" s="756"/>
      <c r="J195" s="756"/>
      <c r="K195" s="756"/>
      <c r="L195" s="756"/>
      <c r="M195" s="756"/>
      <c r="N195" s="756"/>
      <c r="O195" s="756"/>
      <c r="P195" s="756"/>
      <c r="Q195" s="756"/>
      <c r="R195" s="756"/>
      <c r="S195" s="756"/>
      <c r="T195" s="756"/>
      <c r="U195" s="71"/>
      <c r="V195" s="71"/>
      <c r="W195" s="65" t="s">
        <v>56</v>
      </c>
      <c r="X195" s="71" t="s">
        <v>51</v>
      </c>
      <c r="Y195" s="67"/>
      <c r="Z195" s="71"/>
      <c r="AA195" s="71"/>
      <c r="AB195" s="71"/>
      <c r="AC195" s="71"/>
      <c r="AD195" s="71"/>
      <c r="AE195" s="71"/>
      <c r="AF195" s="72"/>
      <c r="AG195" s="67" t="s">
        <v>56</v>
      </c>
      <c r="AH195" s="71" t="s">
        <v>51</v>
      </c>
      <c r="AI195" s="71"/>
      <c r="AJ195" s="71"/>
      <c r="AK195" s="71"/>
      <c r="AL195" s="71"/>
      <c r="AM195" s="71"/>
      <c r="AN195" s="71"/>
      <c r="AO195" s="71"/>
      <c r="AP195" s="68"/>
      <c r="AQ195" s="68"/>
      <c r="AR195" s="68"/>
      <c r="AS195" s="70"/>
    </row>
    <row r="196" spans="1:45" s="1" customFormat="1" x14ac:dyDescent="0.25">
      <c r="A196" s="326" t="s">
        <v>325</v>
      </c>
      <c r="B196" s="327"/>
      <c r="C196" s="327"/>
      <c r="D196" s="327"/>
      <c r="E196" s="327"/>
      <c r="F196" s="327"/>
      <c r="G196" s="327"/>
      <c r="H196" s="327"/>
      <c r="I196" s="327"/>
      <c r="J196" s="327"/>
      <c r="K196" s="327"/>
      <c r="L196" s="327"/>
      <c r="M196" s="327"/>
      <c r="N196" s="327"/>
      <c r="O196" s="327"/>
      <c r="P196" s="327"/>
      <c r="Q196" s="327"/>
      <c r="R196" s="327"/>
      <c r="S196" s="327"/>
      <c r="T196" s="327"/>
      <c r="U196" s="328"/>
      <c r="V196" s="329"/>
      <c r="W196" s="330"/>
      <c r="X196" s="329"/>
      <c r="Y196" s="331"/>
      <c r="Z196" s="329"/>
      <c r="AA196" s="329"/>
      <c r="AB196" s="329"/>
      <c r="AC196" s="329"/>
      <c r="AD196" s="329"/>
      <c r="AE196" s="332"/>
      <c r="AF196" s="333"/>
      <c r="AG196" s="334"/>
      <c r="AH196" s="335">
        <v>7107003.8200000003</v>
      </c>
      <c r="AI196" s="335"/>
      <c r="AJ196" s="335"/>
      <c r="AK196" s="335"/>
      <c r="AL196" s="335"/>
      <c r="AM196" s="335"/>
      <c r="AN196" s="335"/>
      <c r="AO196" s="336"/>
      <c r="AP196" s="336"/>
      <c r="AQ196" s="337"/>
      <c r="AR196" s="337"/>
      <c r="AS196" s="338"/>
    </row>
    <row r="197" spans="1:45" s="1" customFormat="1" ht="12.75" x14ac:dyDescent="0.25">
      <c r="A197" s="326" t="s">
        <v>326</v>
      </c>
      <c r="B197" s="327"/>
      <c r="C197" s="327"/>
      <c r="D197" s="327"/>
      <c r="E197" s="327"/>
      <c r="F197" s="327"/>
      <c r="G197" s="327"/>
      <c r="H197" s="327"/>
      <c r="I197" s="327"/>
      <c r="J197" s="327"/>
      <c r="K197" s="327"/>
      <c r="L197" s="327"/>
      <c r="M197" s="327"/>
      <c r="N197" s="327"/>
      <c r="O197" s="327"/>
      <c r="P197" s="327"/>
      <c r="Q197" s="327"/>
      <c r="R197" s="327"/>
      <c r="S197" s="327"/>
      <c r="T197" s="327"/>
      <c r="U197" s="339" t="e">
        <f t="shared" ref="U197:AG197" si="2">(U194+U181+U163+U131+U85+U70+U65+U59+U54+U50+U41)/11</f>
        <v>#DIV/0!</v>
      </c>
      <c r="V197" s="489" t="e">
        <f>(V194+V181+V163+V131+V85+V70+V65+V59+V54+V50+V41)/11</f>
        <v>#DIV/0!</v>
      </c>
      <c r="W197" s="340" t="e">
        <f t="shared" si="2"/>
        <v>#DIV/0!</v>
      </c>
      <c r="X197" s="339" t="e">
        <f t="shared" si="2"/>
        <v>#DIV/0!</v>
      </c>
      <c r="Y197" s="341" t="e">
        <f t="shared" si="2"/>
        <v>#DIV/0!</v>
      </c>
      <c r="Z197" s="339" t="e">
        <f t="shared" si="2"/>
        <v>#DIV/0!</v>
      </c>
      <c r="AA197" s="339"/>
      <c r="AB197" s="339"/>
      <c r="AC197" s="339"/>
      <c r="AD197" s="339"/>
      <c r="AE197" s="339" t="e">
        <f t="shared" si="2"/>
        <v>#DIV/0!</v>
      </c>
      <c r="AF197" s="340" t="e">
        <f t="shared" si="2"/>
        <v>#DIV/0!</v>
      </c>
      <c r="AG197" s="341" t="e">
        <f t="shared" si="2"/>
        <v>#DIV/0!</v>
      </c>
      <c r="AH197" s="339">
        <f>AH196/T200*100</f>
        <v>8.4823988349460713</v>
      </c>
      <c r="AI197" s="339"/>
      <c r="AJ197" s="339"/>
      <c r="AK197" s="339"/>
      <c r="AL197" s="339"/>
      <c r="AM197" s="339"/>
      <c r="AN197" s="339"/>
      <c r="AO197" s="68"/>
      <c r="AP197" s="68"/>
      <c r="AQ197" s="342">
        <f>(AQ194+AQ181+AQ163+AQ131+AQ85+AQ70+AQ65+AQ59+AQ54+AQ50+AQ41)/11</f>
        <v>0</v>
      </c>
      <c r="AR197" s="342">
        <f>(AR194+AR181+AR163+AR131+AR85+AR70+AR65+AR59+AR54+AR50+AR41)/11</f>
        <v>0</v>
      </c>
      <c r="AS197" s="70"/>
    </row>
    <row r="198" spans="1:45" s="1" customFormat="1" ht="12.75" x14ac:dyDescent="0.25">
      <c r="A198" s="326" t="s">
        <v>327</v>
      </c>
      <c r="B198" s="327"/>
      <c r="C198" s="327"/>
      <c r="D198" s="327"/>
      <c r="E198" s="327"/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43"/>
      <c r="V198" s="343"/>
      <c r="W198" s="344"/>
      <c r="X198" s="343"/>
      <c r="Y198" s="345"/>
      <c r="Z198" s="343"/>
      <c r="AA198" s="343"/>
      <c r="AB198" s="343"/>
      <c r="AC198" s="343"/>
      <c r="AD198" s="343"/>
      <c r="AE198" s="343"/>
      <c r="AF198" s="344"/>
      <c r="AG198" s="345"/>
      <c r="AH198" s="343"/>
      <c r="AI198" s="343"/>
      <c r="AJ198" s="343"/>
      <c r="AK198" s="343"/>
      <c r="AL198" s="343"/>
      <c r="AM198" s="343"/>
      <c r="AN198" s="343"/>
      <c r="AO198" s="346"/>
      <c r="AP198" s="346"/>
      <c r="AQ198" s="347"/>
      <c r="AR198" s="347"/>
      <c r="AS198" s="348"/>
    </row>
    <row r="199" spans="1:45" s="1" customFormat="1" ht="13.5" thickBot="1" x14ac:dyDescent="0.3">
      <c r="A199" s="326" t="s">
        <v>328</v>
      </c>
      <c r="B199" s="327"/>
      <c r="C199" s="327"/>
      <c r="D199" s="327"/>
      <c r="E199" s="327"/>
      <c r="F199" s="327"/>
      <c r="G199" s="327"/>
      <c r="H199" s="327"/>
      <c r="I199" s="327"/>
      <c r="J199" s="327"/>
      <c r="K199" s="327"/>
      <c r="L199" s="327"/>
      <c r="M199" s="327"/>
      <c r="N199" s="327"/>
      <c r="O199" s="327"/>
      <c r="P199" s="327"/>
      <c r="Q199" s="327"/>
      <c r="R199" s="327"/>
      <c r="S199" s="327"/>
      <c r="T199" s="327"/>
      <c r="U199" s="349" t="s">
        <v>51</v>
      </c>
      <c r="V199" s="349" t="s">
        <v>51</v>
      </c>
      <c r="W199" s="350" t="s">
        <v>47</v>
      </c>
      <c r="X199" s="349" t="s">
        <v>56</v>
      </c>
      <c r="Y199" s="351"/>
      <c r="Z199" s="349"/>
      <c r="AA199" s="349"/>
      <c r="AB199" s="349"/>
      <c r="AC199" s="349"/>
      <c r="AD199" s="349"/>
      <c r="AE199" s="349"/>
      <c r="AF199" s="352"/>
      <c r="AG199" s="351" t="s">
        <v>47</v>
      </c>
      <c r="AH199" s="349" t="s">
        <v>51</v>
      </c>
      <c r="AI199" s="349"/>
      <c r="AJ199" s="349"/>
      <c r="AK199" s="349"/>
      <c r="AL199" s="349"/>
      <c r="AM199" s="349"/>
      <c r="AN199" s="349"/>
      <c r="AO199" s="353"/>
      <c r="AP199" s="353"/>
      <c r="AQ199" s="353"/>
      <c r="AR199" s="353"/>
      <c r="AS199" s="354"/>
    </row>
    <row r="200" spans="1:45" s="358" customFormat="1" x14ac:dyDescent="0.25">
      <c r="A200" s="757" t="s">
        <v>57</v>
      </c>
      <c r="B200" s="758"/>
      <c r="C200" s="758"/>
      <c r="D200" s="758"/>
      <c r="E200" s="758"/>
      <c r="F200" s="758"/>
      <c r="G200" s="758"/>
      <c r="H200" s="758"/>
      <c r="I200" s="758"/>
      <c r="J200" s="758"/>
      <c r="K200" s="758"/>
      <c r="L200" s="758"/>
      <c r="M200" s="758"/>
      <c r="N200" s="758"/>
      <c r="O200" s="758"/>
      <c r="P200" s="758"/>
      <c r="Q200" s="758"/>
      <c r="R200" s="758"/>
      <c r="S200" s="759"/>
      <c r="T200" s="335">
        <v>83785306</v>
      </c>
      <c r="U200" s="355"/>
      <c r="V200" s="355"/>
      <c r="W200" s="355"/>
      <c r="X200" s="355"/>
      <c r="Y200" s="355"/>
      <c r="Z200" s="355"/>
      <c r="AA200" s="355"/>
      <c r="AB200" s="355"/>
      <c r="AC200" s="355"/>
      <c r="AD200" s="355"/>
      <c r="AE200" s="355"/>
      <c r="AF200" s="355"/>
      <c r="AG200" s="355"/>
      <c r="AH200" s="355"/>
      <c r="AI200" s="355"/>
      <c r="AJ200" s="355"/>
      <c r="AK200" s="355"/>
      <c r="AL200" s="355"/>
      <c r="AM200" s="355"/>
      <c r="AN200" s="355"/>
      <c r="AO200" s="356"/>
      <c r="AP200" s="356"/>
      <c r="AQ200" s="356"/>
      <c r="AR200" s="356"/>
      <c r="AS200" s="357"/>
    </row>
    <row r="201" spans="1:45" s="358" customFormat="1" ht="12.75" x14ac:dyDescent="0.25">
      <c r="A201" s="760" t="s">
        <v>329</v>
      </c>
      <c r="B201" s="761"/>
      <c r="C201" s="761"/>
      <c r="D201" s="761"/>
      <c r="E201" s="761"/>
      <c r="F201" s="761"/>
      <c r="G201" s="761"/>
      <c r="H201" s="761"/>
      <c r="I201" s="761"/>
      <c r="J201" s="761"/>
      <c r="K201" s="761"/>
      <c r="L201" s="761"/>
      <c r="M201" s="761"/>
      <c r="N201" s="761"/>
      <c r="O201" s="761"/>
      <c r="P201" s="761"/>
      <c r="Q201" s="761"/>
      <c r="R201" s="761"/>
      <c r="S201" s="761"/>
      <c r="T201" s="761"/>
      <c r="U201" s="355"/>
      <c r="V201" s="355"/>
      <c r="W201" s="355"/>
      <c r="X201" s="355"/>
      <c r="Y201" s="355"/>
      <c r="Z201" s="355"/>
      <c r="AA201" s="355"/>
      <c r="AB201" s="355"/>
      <c r="AC201" s="355"/>
      <c r="AD201" s="355"/>
      <c r="AE201" s="355"/>
      <c r="AF201" s="355"/>
      <c r="AG201" s="355"/>
      <c r="AH201" s="355"/>
      <c r="AI201" s="355"/>
      <c r="AJ201" s="355"/>
      <c r="AK201" s="355"/>
      <c r="AL201" s="355"/>
      <c r="AM201" s="355"/>
      <c r="AN201" s="355"/>
      <c r="AO201" s="356"/>
      <c r="AP201" s="356"/>
      <c r="AQ201" s="356"/>
      <c r="AR201" s="356"/>
      <c r="AS201" s="357"/>
    </row>
    <row r="202" spans="1:45" s="358" customFormat="1" ht="13.5" thickBot="1" x14ac:dyDescent="0.3">
      <c r="A202" s="762" t="s">
        <v>330</v>
      </c>
      <c r="B202" s="763"/>
      <c r="C202" s="763"/>
      <c r="D202" s="763"/>
      <c r="E202" s="763"/>
      <c r="F202" s="763"/>
      <c r="G202" s="763"/>
      <c r="H202" s="763"/>
      <c r="I202" s="763"/>
      <c r="J202" s="763"/>
      <c r="K202" s="763"/>
      <c r="L202" s="763"/>
      <c r="M202" s="763"/>
      <c r="N202" s="763"/>
      <c r="O202" s="763"/>
      <c r="P202" s="763"/>
      <c r="Q202" s="763"/>
      <c r="R202" s="763"/>
      <c r="S202" s="763"/>
      <c r="T202" s="763"/>
      <c r="U202" s="355"/>
      <c r="V202" s="355"/>
      <c r="W202" s="355"/>
      <c r="X202" s="355"/>
      <c r="Y202" s="355"/>
      <c r="Z202" s="355"/>
      <c r="AA202" s="355"/>
      <c r="AB202" s="355"/>
      <c r="AC202" s="355"/>
      <c r="AD202" s="355"/>
      <c r="AE202" s="355"/>
      <c r="AF202" s="355"/>
      <c r="AG202" s="355"/>
      <c r="AH202" s="355"/>
      <c r="AI202" s="355"/>
      <c r="AJ202" s="355"/>
      <c r="AK202" s="355"/>
      <c r="AL202" s="355"/>
      <c r="AM202" s="355"/>
      <c r="AN202" s="355"/>
      <c r="AO202" s="356"/>
      <c r="AP202" s="356"/>
      <c r="AQ202" s="356"/>
      <c r="AR202" s="356"/>
      <c r="AS202" s="357"/>
    </row>
    <row r="203" spans="1:45" s="358" customFormat="1" ht="12.75" x14ac:dyDescent="0.25">
      <c r="A203" s="359"/>
      <c r="B203" s="359"/>
      <c r="C203" s="359"/>
      <c r="D203" s="359"/>
      <c r="E203" s="359"/>
      <c r="F203" s="359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5"/>
      <c r="V203" s="355"/>
      <c r="W203" s="355"/>
      <c r="X203" s="355"/>
      <c r="Y203" s="355"/>
      <c r="Z203" s="355"/>
      <c r="AA203" s="355"/>
      <c r="AB203" s="355"/>
      <c r="AC203" s="355"/>
      <c r="AD203" s="355"/>
      <c r="AE203" s="355"/>
      <c r="AF203" s="355"/>
      <c r="AG203" s="355"/>
      <c r="AH203" s="355"/>
      <c r="AI203" s="355"/>
      <c r="AJ203" s="355"/>
      <c r="AK203" s="355"/>
      <c r="AL203" s="355"/>
      <c r="AM203" s="355"/>
      <c r="AN203" s="355"/>
      <c r="AO203" s="356"/>
      <c r="AP203" s="356"/>
      <c r="AQ203" s="356"/>
      <c r="AR203" s="356"/>
      <c r="AS203" s="357"/>
    </row>
    <row r="204" spans="1:45" s="358" customFormat="1" ht="12.75" x14ac:dyDescent="0.25">
      <c r="A204" s="359"/>
      <c r="B204" s="359"/>
      <c r="C204" s="359"/>
      <c r="D204" s="359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5"/>
      <c r="V204" s="355"/>
      <c r="W204" s="355"/>
      <c r="X204" s="355"/>
      <c r="Y204" s="355"/>
      <c r="Z204" s="355"/>
      <c r="AA204" s="355"/>
      <c r="AB204" s="355"/>
      <c r="AC204" s="355"/>
      <c r="AD204" s="355"/>
      <c r="AE204" s="355"/>
      <c r="AF204" s="355"/>
      <c r="AG204" s="355"/>
      <c r="AH204" s="355"/>
      <c r="AI204" s="355"/>
      <c r="AJ204" s="355"/>
      <c r="AK204" s="355"/>
      <c r="AL204" s="355"/>
      <c r="AM204" s="355"/>
      <c r="AN204" s="355"/>
      <c r="AO204" s="356"/>
      <c r="AP204" s="356"/>
      <c r="AQ204" s="356"/>
      <c r="AR204" s="356"/>
      <c r="AS204" s="357"/>
    </row>
    <row r="205" spans="1:45" s="358" customFormat="1" ht="12.75" x14ac:dyDescent="0.25">
      <c r="A205" s="359"/>
      <c r="B205" s="359"/>
      <c r="C205" s="359"/>
      <c r="D205" s="359"/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5"/>
      <c r="V205" s="355"/>
      <c r="W205" s="355"/>
      <c r="X205" s="355"/>
      <c r="Y205" s="355"/>
      <c r="Z205" s="355"/>
      <c r="AA205" s="355"/>
      <c r="AB205" s="355"/>
      <c r="AC205" s="355"/>
      <c r="AD205" s="355"/>
      <c r="AE205" s="355"/>
      <c r="AF205" s="355"/>
      <c r="AG205" s="355"/>
      <c r="AH205" s="355"/>
      <c r="AI205" s="355"/>
      <c r="AJ205" s="355"/>
      <c r="AK205" s="355"/>
      <c r="AL205" s="355"/>
      <c r="AM205" s="355"/>
      <c r="AN205" s="355"/>
      <c r="AO205" s="356"/>
      <c r="AP205" s="356"/>
      <c r="AQ205" s="356"/>
      <c r="AR205" s="356"/>
      <c r="AS205" s="357"/>
    </row>
    <row r="206" spans="1:45" s="358" customFormat="1" ht="12.75" x14ac:dyDescent="0.25">
      <c r="A206" s="359"/>
      <c r="B206" s="359"/>
      <c r="C206" s="359"/>
      <c r="D206" s="359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5"/>
      <c r="V206" s="355"/>
      <c r="W206" s="355"/>
      <c r="X206" s="355"/>
      <c r="Y206" s="355"/>
      <c r="Z206" s="355"/>
      <c r="AA206" s="355"/>
      <c r="AB206" s="355"/>
      <c r="AC206" s="355"/>
      <c r="AD206" s="355"/>
      <c r="AE206" s="355"/>
      <c r="AF206" s="355"/>
      <c r="AG206" s="355"/>
      <c r="AH206" s="355"/>
      <c r="AI206" s="355"/>
      <c r="AJ206" s="355"/>
      <c r="AK206" s="355"/>
      <c r="AL206" s="355"/>
      <c r="AM206" s="355"/>
      <c r="AN206" s="355"/>
      <c r="AO206" s="356"/>
      <c r="AP206" s="356"/>
      <c r="AQ206" s="356"/>
      <c r="AR206" s="356"/>
      <c r="AS206" s="357"/>
    </row>
    <row r="207" spans="1:45" s="358" customFormat="1" ht="12.75" x14ac:dyDescent="0.25">
      <c r="A207" s="359"/>
      <c r="B207" s="359"/>
      <c r="C207" s="359"/>
      <c r="D207" s="359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5"/>
      <c r="V207" s="355"/>
      <c r="W207" s="355"/>
      <c r="X207" s="355"/>
      <c r="Y207" s="355"/>
      <c r="Z207" s="355"/>
      <c r="AA207" s="355"/>
      <c r="AB207" s="355"/>
      <c r="AC207" s="355"/>
      <c r="AD207" s="355"/>
      <c r="AE207" s="355"/>
      <c r="AF207" s="355"/>
      <c r="AG207" s="355"/>
      <c r="AH207" s="355"/>
      <c r="AI207" s="355"/>
      <c r="AJ207" s="355"/>
      <c r="AK207" s="355"/>
      <c r="AL207" s="355"/>
      <c r="AM207" s="355"/>
      <c r="AN207" s="355"/>
      <c r="AO207" s="356"/>
      <c r="AP207" s="356"/>
      <c r="AQ207" s="356"/>
      <c r="AR207" s="356"/>
      <c r="AS207" s="357"/>
    </row>
    <row r="208" spans="1:45" s="358" customFormat="1" ht="12.75" x14ac:dyDescent="0.25">
      <c r="A208" s="359"/>
      <c r="B208" s="359"/>
      <c r="C208" s="359"/>
      <c r="D208" s="359"/>
      <c r="E208" s="359"/>
      <c r="F208" s="35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355"/>
      <c r="V208" s="355"/>
      <c r="W208" s="355"/>
      <c r="X208" s="355"/>
      <c r="Y208" s="355"/>
      <c r="Z208" s="355"/>
      <c r="AA208" s="355"/>
      <c r="AB208" s="355"/>
      <c r="AC208" s="355"/>
      <c r="AD208" s="355"/>
      <c r="AE208" s="355"/>
      <c r="AF208" s="355"/>
      <c r="AG208" s="355"/>
      <c r="AH208" s="355"/>
      <c r="AI208" s="355"/>
      <c r="AJ208" s="355"/>
      <c r="AK208" s="355"/>
      <c r="AL208" s="355"/>
      <c r="AM208" s="355"/>
      <c r="AN208" s="355"/>
      <c r="AO208" s="356"/>
      <c r="AP208" s="356"/>
      <c r="AQ208" s="356"/>
      <c r="AR208" s="356"/>
      <c r="AS208" s="357"/>
    </row>
    <row r="209" spans="1:45" s="358" customFormat="1" ht="12.75" x14ac:dyDescent="0.25">
      <c r="A209" s="359"/>
      <c r="B209" s="359"/>
      <c r="C209" s="359"/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5"/>
      <c r="V209" s="355"/>
      <c r="W209" s="355"/>
      <c r="X209" s="355"/>
      <c r="Y209" s="355"/>
      <c r="Z209" s="355"/>
      <c r="AA209" s="355"/>
      <c r="AB209" s="355"/>
      <c r="AC209" s="355"/>
      <c r="AD209" s="355"/>
      <c r="AE209" s="355"/>
      <c r="AF209" s="355"/>
      <c r="AG209" s="355"/>
      <c r="AH209" s="355"/>
      <c r="AI209" s="355"/>
      <c r="AJ209" s="355"/>
      <c r="AK209" s="355"/>
      <c r="AL209" s="355"/>
      <c r="AM209" s="355"/>
      <c r="AN209" s="355"/>
      <c r="AO209" s="356"/>
      <c r="AP209" s="356"/>
      <c r="AQ209" s="356"/>
      <c r="AR209" s="356"/>
      <c r="AS209" s="357"/>
    </row>
    <row r="210" spans="1:45" s="358" customFormat="1" ht="12.75" x14ac:dyDescent="0.25">
      <c r="A210" s="359"/>
      <c r="B210" s="359"/>
      <c r="C210" s="359"/>
      <c r="D210" s="359"/>
      <c r="E210" s="359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5"/>
      <c r="V210" s="355"/>
      <c r="W210" s="355"/>
      <c r="X210" s="355"/>
      <c r="Y210" s="355"/>
      <c r="Z210" s="355"/>
      <c r="AA210" s="355"/>
      <c r="AB210" s="355"/>
      <c r="AC210" s="355"/>
      <c r="AD210" s="355"/>
      <c r="AE210" s="355"/>
      <c r="AF210" s="355"/>
      <c r="AG210" s="355"/>
      <c r="AH210" s="355"/>
      <c r="AI210" s="355"/>
      <c r="AJ210" s="355"/>
      <c r="AK210" s="355"/>
      <c r="AL210" s="355"/>
      <c r="AM210" s="355"/>
      <c r="AN210" s="355"/>
      <c r="AO210" s="356"/>
      <c r="AP210" s="356"/>
      <c r="AQ210" s="356"/>
      <c r="AR210" s="356"/>
      <c r="AS210" s="357"/>
    </row>
    <row r="211" spans="1:45" s="358" customFormat="1" ht="12.75" x14ac:dyDescent="0.25">
      <c r="A211" s="359"/>
      <c r="B211" s="359"/>
      <c r="C211" s="359"/>
      <c r="D211" s="359"/>
      <c r="E211" s="359"/>
      <c r="F211" s="359"/>
      <c r="G211" s="359"/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5"/>
      <c r="V211" s="355"/>
      <c r="W211" s="355"/>
      <c r="X211" s="355"/>
      <c r="Y211" s="355"/>
      <c r="Z211" s="355"/>
      <c r="AA211" s="355"/>
      <c r="AB211" s="355"/>
      <c r="AC211" s="355"/>
      <c r="AD211" s="355"/>
      <c r="AE211" s="355"/>
      <c r="AF211" s="355"/>
      <c r="AG211" s="355"/>
      <c r="AH211" s="355"/>
      <c r="AI211" s="355"/>
      <c r="AJ211" s="355"/>
      <c r="AK211" s="355"/>
      <c r="AL211" s="355"/>
      <c r="AM211" s="355"/>
      <c r="AN211" s="355"/>
      <c r="AO211" s="356"/>
      <c r="AP211" s="356"/>
      <c r="AQ211" s="356"/>
      <c r="AR211" s="356"/>
      <c r="AS211" s="357"/>
    </row>
    <row r="212" spans="1:45" s="358" customFormat="1" ht="12.75" x14ac:dyDescent="0.25">
      <c r="A212" s="359"/>
      <c r="B212" s="359"/>
      <c r="C212" s="359"/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5"/>
      <c r="V212" s="355"/>
      <c r="W212" s="355"/>
      <c r="X212" s="355"/>
      <c r="Y212" s="355"/>
      <c r="Z212" s="355"/>
      <c r="AA212" s="355"/>
      <c r="AB212" s="355"/>
      <c r="AC212" s="355"/>
      <c r="AD212" s="355"/>
      <c r="AE212" s="355"/>
      <c r="AF212" s="355"/>
      <c r="AG212" s="355"/>
      <c r="AH212" s="355"/>
      <c r="AI212" s="355"/>
      <c r="AJ212" s="355"/>
      <c r="AK212" s="355"/>
      <c r="AL212" s="355"/>
      <c r="AM212" s="355"/>
      <c r="AN212" s="355"/>
      <c r="AO212" s="356"/>
      <c r="AP212" s="356"/>
      <c r="AQ212" s="356"/>
      <c r="AR212" s="356"/>
      <c r="AS212" s="357"/>
    </row>
    <row r="213" spans="1:45" s="358" customFormat="1" ht="12.75" x14ac:dyDescent="0.25">
      <c r="A213" s="359"/>
      <c r="B213" s="359"/>
      <c r="C213" s="359"/>
      <c r="D213" s="359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5"/>
      <c r="V213" s="355"/>
      <c r="W213" s="355"/>
      <c r="X213" s="355"/>
      <c r="Y213" s="355"/>
      <c r="Z213" s="355"/>
      <c r="AA213" s="355"/>
      <c r="AB213" s="355"/>
      <c r="AC213" s="355"/>
      <c r="AD213" s="355"/>
      <c r="AE213" s="355"/>
      <c r="AF213" s="355"/>
      <c r="AG213" s="355"/>
      <c r="AH213" s="355"/>
      <c r="AI213" s="355"/>
      <c r="AJ213" s="355"/>
      <c r="AK213" s="355"/>
      <c r="AL213" s="355"/>
      <c r="AM213" s="355"/>
      <c r="AN213" s="355"/>
      <c r="AO213" s="356"/>
      <c r="AP213" s="356"/>
      <c r="AQ213" s="356"/>
      <c r="AR213" s="356"/>
      <c r="AS213" s="357"/>
    </row>
    <row r="214" spans="1:45" s="358" customFormat="1" ht="12.75" x14ac:dyDescent="0.25">
      <c r="A214" s="359"/>
      <c r="B214" s="359"/>
      <c r="C214" s="359"/>
      <c r="D214" s="359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5"/>
      <c r="V214" s="355"/>
      <c r="W214" s="355"/>
      <c r="X214" s="355"/>
      <c r="Y214" s="355"/>
      <c r="Z214" s="355"/>
      <c r="AA214" s="355"/>
      <c r="AB214" s="355"/>
      <c r="AC214" s="355"/>
      <c r="AD214" s="355"/>
      <c r="AE214" s="355"/>
      <c r="AF214" s="355"/>
      <c r="AG214" s="355"/>
      <c r="AH214" s="355"/>
      <c r="AI214" s="355"/>
      <c r="AJ214" s="355"/>
      <c r="AK214" s="355"/>
      <c r="AL214" s="355"/>
      <c r="AM214" s="355"/>
      <c r="AN214" s="355"/>
      <c r="AO214" s="356"/>
      <c r="AP214" s="356"/>
      <c r="AQ214" s="356"/>
      <c r="AR214" s="356"/>
      <c r="AS214" s="357"/>
    </row>
    <row r="215" spans="1:45" s="358" customFormat="1" ht="12.75" x14ac:dyDescent="0.25">
      <c r="A215" s="359"/>
      <c r="B215" s="359"/>
      <c r="C215" s="359"/>
      <c r="D215" s="359"/>
      <c r="E215" s="359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5"/>
      <c r="V215" s="355"/>
      <c r="W215" s="355"/>
      <c r="X215" s="355"/>
      <c r="Y215" s="355"/>
      <c r="Z215" s="355"/>
      <c r="AA215" s="355"/>
      <c r="AB215" s="355"/>
      <c r="AC215" s="355"/>
      <c r="AD215" s="355"/>
      <c r="AE215" s="355"/>
      <c r="AF215" s="355"/>
      <c r="AG215" s="355"/>
      <c r="AH215" s="355"/>
      <c r="AI215" s="355"/>
      <c r="AJ215" s="355"/>
      <c r="AK215" s="355"/>
      <c r="AL215" s="355"/>
      <c r="AM215" s="355"/>
      <c r="AN215" s="355"/>
      <c r="AO215" s="356"/>
      <c r="AP215" s="356"/>
      <c r="AQ215" s="356"/>
      <c r="AR215" s="356"/>
      <c r="AS215" s="357"/>
    </row>
    <row r="216" spans="1:45" s="358" customFormat="1" ht="12.75" x14ac:dyDescent="0.25">
      <c r="A216" s="359"/>
      <c r="B216" s="359"/>
      <c r="C216" s="359"/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5"/>
      <c r="V216" s="355"/>
      <c r="W216" s="355"/>
      <c r="X216" s="355"/>
      <c r="Y216" s="355"/>
      <c r="Z216" s="355"/>
      <c r="AA216" s="355"/>
      <c r="AB216" s="355"/>
      <c r="AC216" s="355"/>
      <c r="AD216" s="355"/>
      <c r="AE216" s="355"/>
      <c r="AF216" s="355"/>
      <c r="AG216" s="355"/>
      <c r="AH216" s="355"/>
      <c r="AI216" s="355"/>
      <c r="AJ216" s="355"/>
      <c r="AK216" s="355"/>
      <c r="AL216" s="355"/>
      <c r="AM216" s="355"/>
      <c r="AN216" s="355"/>
      <c r="AO216" s="356"/>
      <c r="AP216" s="356"/>
      <c r="AQ216" s="356"/>
      <c r="AR216" s="356"/>
      <c r="AS216" s="357"/>
    </row>
    <row r="217" spans="1:45" s="358" customFormat="1" ht="12.75" x14ac:dyDescent="0.25">
      <c r="A217" s="359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5"/>
      <c r="V217" s="355"/>
      <c r="W217" s="355"/>
      <c r="X217" s="355"/>
      <c r="Y217" s="355"/>
      <c r="Z217" s="355"/>
      <c r="AA217" s="355"/>
      <c r="AB217" s="355"/>
      <c r="AC217" s="355"/>
      <c r="AD217" s="355"/>
      <c r="AE217" s="355"/>
      <c r="AF217" s="355"/>
      <c r="AG217" s="355"/>
      <c r="AH217" s="355"/>
      <c r="AI217" s="355"/>
      <c r="AJ217" s="355"/>
      <c r="AK217" s="355"/>
      <c r="AL217" s="355"/>
      <c r="AM217" s="355"/>
      <c r="AN217" s="355"/>
      <c r="AO217" s="356"/>
      <c r="AP217" s="356"/>
      <c r="AQ217" s="356"/>
      <c r="AR217" s="356"/>
      <c r="AS217" s="357"/>
    </row>
    <row r="218" spans="1:45" s="358" customFormat="1" ht="12.75" x14ac:dyDescent="0.25">
      <c r="A218" s="359"/>
      <c r="B218" s="359"/>
      <c r="C218" s="359"/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5"/>
      <c r="V218" s="355"/>
      <c r="W218" s="355"/>
      <c r="X218" s="355"/>
      <c r="Y218" s="355"/>
      <c r="Z218" s="355"/>
      <c r="AA218" s="355"/>
      <c r="AB218" s="355"/>
      <c r="AC218" s="355"/>
      <c r="AD218" s="355"/>
      <c r="AE218" s="355"/>
      <c r="AF218" s="355"/>
      <c r="AG218" s="355"/>
      <c r="AH218" s="355"/>
      <c r="AI218" s="355"/>
      <c r="AJ218" s="355"/>
      <c r="AK218" s="355"/>
      <c r="AL218" s="355"/>
      <c r="AM218" s="355"/>
      <c r="AN218" s="355"/>
      <c r="AO218" s="356"/>
      <c r="AP218" s="356"/>
      <c r="AQ218" s="356"/>
      <c r="AR218" s="356"/>
      <c r="AS218" s="357"/>
    </row>
    <row r="219" spans="1:45" s="358" customFormat="1" ht="12.75" x14ac:dyDescent="0.25">
      <c r="A219" s="359"/>
      <c r="B219" s="359"/>
      <c r="C219" s="359"/>
      <c r="D219" s="359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5"/>
      <c r="V219" s="355"/>
      <c r="W219" s="355"/>
      <c r="X219" s="355"/>
      <c r="Y219" s="355"/>
      <c r="Z219" s="355"/>
      <c r="AA219" s="355"/>
      <c r="AB219" s="355"/>
      <c r="AC219" s="355"/>
      <c r="AD219" s="355"/>
      <c r="AE219" s="355"/>
      <c r="AF219" s="355"/>
      <c r="AG219" s="355"/>
      <c r="AH219" s="355"/>
      <c r="AI219" s="355"/>
      <c r="AJ219" s="355"/>
      <c r="AK219" s="355"/>
      <c r="AL219" s="355"/>
      <c r="AM219" s="355"/>
      <c r="AN219" s="355"/>
      <c r="AO219" s="356"/>
      <c r="AP219" s="356"/>
      <c r="AQ219" s="356"/>
      <c r="AR219" s="356"/>
      <c r="AS219" s="357"/>
    </row>
    <row r="220" spans="1:45" s="358" customFormat="1" ht="12.75" x14ac:dyDescent="0.25">
      <c r="A220" s="359"/>
      <c r="B220" s="359"/>
      <c r="C220" s="359"/>
      <c r="D220" s="359"/>
      <c r="E220" s="359"/>
      <c r="F220" s="35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5"/>
      <c r="V220" s="355"/>
      <c r="W220" s="355"/>
      <c r="X220" s="355"/>
      <c r="Y220" s="355"/>
      <c r="Z220" s="355"/>
      <c r="AA220" s="355"/>
      <c r="AB220" s="355"/>
      <c r="AC220" s="355"/>
      <c r="AD220" s="355"/>
      <c r="AE220" s="355"/>
      <c r="AF220" s="355"/>
      <c r="AG220" s="355"/>
      <c r="AH220" s="355"/>
      <c r="AI220" s="355"/>
      <c r="AJ220" s="355"/>
      <c r="AK220" s="355"/>
      <c r="AL220" s="355"/>
      <c r="AM220" s="355"/>
      <c r="AN220" s="355"/>
      <c r="AO220" s="356"/>
      <c r="AP220" s="356"/>
      <c r="AQ220" s="356"/>
      <c r="AR220" s="356"/>
      <c r="AS220" s="357"/>
    </row>
    <row r="221" spans="1:45" s="358" customFormat="1" ht="12.75" x14ac:dyDescent="0.25">
      <c r="A221" s="359"/>
      <c r="B221" s="359"/>
      <c r="C221" s="359"/>
      <c r="D221" s="359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5"/>
      <c r="V221" s="355"/>
      <c r="W221" s="355"/>
      <c r="X221" s="355"/>
      <c r="Y221" s="355"/>
      <c r="Z221" s="355"/>
      <c r="AA221" s="355"/>
      <c r="AB221" s="355"/>
      <c r="AC221" s="355"/>
      <c r="AD221" s="355"/>
      <c r="AE221" s="355"/>
      <c r="AF221" s="355"/>
      <c r="AG221" s="355"/>
      <c r="AH221" s="355"/>
      <c r="AI221" s="355"/>
      <c r="AJ221" s="355"/>
      <c r="AK221" s="355"/>
      <c r="AL221" s="355"/>
      <c r="AM221" s="355"/>
      <c r="AN221" s="355"/>
      <c r="AO221" s="356"/>
      <c r="AP221" s="356"/>
      <c r="AQ221" s="356"/>
      <c r="AR221" s="356"/>
      <c r="AS221" s="357"/>
    </row>
    <row r="222" spans="1:45" s="358" customFormat="1" ht="12.75" x14ac:dyDescent="0.25">
      <c r="A222" s="359"/>
      <c r="B222" s="359"/>
      <c r="C222" s="359"/>
      <c r="D222" s="359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5"/>
      <c r="V222" s="355"/>
      <c r="W222" s="355"/>
      <c r="X222" s="355"/>
      <c r="Y222" s="355"/>
      <c r="Z222" s="355"/>
      <c r="AA222" s="355"/>
      <c r="AB222" s="355"/>
      <c r="AC222" s="355"/>
      <c r="AD222" s="355"/>
      <c r="AE222" s="355"/>
      <c r="AF222" s="355"/>
      <c r="AG222" s="355"/>
      <c r="AH222" s="355"/>
      <c r="AI222" s="355"/>
      <c r="AJ222" s="355"/>
      <c r="AK222" s="355"/>
      <c r="AL222" s="355"/>
      <c r="AM222" s="355"/>
      <c r="AN222" s="355"/>
      <c r="AO222" s="356"/>
      <c r="AP222" s="356"/>
      <c r="AQ222" s="356"/>
      <c r="AR222" s="356"/>
      <c r="AS222" s="357"/>
    </row>
    <row r="223" spans="1:45" s="358" customFormat="1" ht="12.75" x14ac:dyDescent="0.25">
      <c r="A223" s="359"/>
      <c r="B223" s="359"/>
      <c r="C223" s="359"/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5"/>
      <c r="V223" s="355"/>
      <c r="W223" s="355"/>
      <c r="X223" s="355"/>
      <c r="Y223" s="355"/>
      <c r="Z223" s="355"/>
      <c r="AA223" s="355"/>
      <c r="AB223" s="355"/>
      <c r="AC223" s="355"/>
      <c r="AD223" s="355"/>
      <c r="AE223" s="355"/>
      <c r="AF223" s="355"/>
      <c r="AG223" s="355"/>
      <c r="AH223" s="355"/>
      <c r="AI223" s="355"/>
      <c r="AJ223" s="355"/>
      <c r="AK223" s="355"/>
      <c r="AL223" s="355"/>
      <c r="AM223" s="355"/>
      <c r="AN223" s="355"/>
      <c r="AO223" s="356"/>
      <c r="AP223" s="356"/>
      <c r="AQ223" s="356"/>
      <c r="AR223" s="356"/>
      <c r="AS223" s="357"/>
    </row>
    <row r="224" spans="1:45" s="358" customFormat="1" ht="12.75" x14ac:dyDescent="0.25">
      <c r="A224" s="359"/>
      <c r="B224" s="359"/>
      <c r="C224" s="359"/>
      <c r="D224" s="359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5"/>
      <c r="V224" s="355"/>
      <c r="W224" s="355"/>
      <c r="X224" s="355"/>
      <c r="Y224" s="355"/>
      <c r="Z224" s="355"/>
      <c r="AA224" s="355"/>
      <c r="AB224" s="355"/>
      <c r="AC224" s="355"/>
      <c r="AD224" s="355"/>
      <c r="AE224" s="355"/>
      <c r="AF224" s="355"/>
      <c r="AG224" s="355"/>
      <c r="AH224" s="355"/>
      <c r="AI224" s="355"/>
      <c r="AJ224" s="355"/>
      <c r="AK224" s="355"/>
      <c r="AL224" s="355"/>
      <c r="AM224" s="355"/>
      <c r="AN224" s="355"/>
      <c r="AO224" s="356"/>
      <c r="AP224" s="356"/>
      <c r="AQ224" s="356"/>
      <c r="AR224" s="356"/>
      <c r="AS224" s="357"/>
    </row>
    <row r="225" spans="1:45" s="358" customFormat="1" ht="12.75" x14ac:dyDescent="0.25">
      <c r="A225" s="359"/>
      <c r="B225" s="359"/>
      <c r="C225" s="359"/>
      <c r="D225" s="359"/>
      <c r="E225" s="359"/>
      <c r="F225" s="35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5"/>
      <c r="V225" s="355"/>
      <c r="W225" s="355"/>
      <c r="X225" s="355"/>
      <c r="Y225" s="355"/>
      <c r="Z225" s="355"/>
      <c r="AA225" s="355"/>
      <c r="AB225" s="355"/>
      <c r="AC225" s="355"/>
      <c r="AD225" s="355"/>
      <c r="AE225" s="355"/>
      <c r="AF225" s="355"/>
      <c r="AG225" s="355"/>
      <c r="AH225" s="355"/>
      <c r="AI225" s="355"/>
      <c r="AJ225" s="355"/>
      <c r="AK225" s="355"/>
      <c r="AL225" s="355"/>
      <c r="AM225" s="355"/>
      <c r="AN225" s="355"/>
      <c r="AO225" s="356"/>
      <c r="AP225" s="356"/>
      <c r="AQ225" s="356"/>
      <c r="AR225" s="356"/>
      <c r="AS225" s="357"/>
    </row>
    <row r="226" spans="1:45" s="358" customFormat="1" ht="12.75" x14ac:dyDescent="0.25">
      <c r="A226" s="359"/>
      <c r="B226" s="359"/>
      <c r="C226" s="359"/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5"/>
      <c r="V226" s="355"/>
      <c r="W226" s="355"/>
      <c r="X226" s="355"/>
      <c r="Y226" s="355"/>
      <c r="Z226" s="355"/>
      <c r="AA226" s="355"/>
      <c r="AB226" s="355"/>
      <c r="AC226" s="355"/>
      <c r="AD226" s="355"/>
      <c r="AE226" s="355"/>
      <c r="AF226" s="355"/>
      <c r="AG226" s="355"/>
      <c r="AH226" s="355"/>
      <c r="AI226" s="355"/>
      <c r="AJ226" s="355"/>
      <c r="AK226" s="355"/>
      <c r="AL226" s="355"/>
      <c r="AM226" s="355"/>
      <c r="AN226" s="355"/>
      <c r="AO226" s="356"/>
      <c r="AP226" s="356"/>
      <c r="AQ226" s="356"/>
      <c r="AR226" s="356"/>
      <c r="AS226" s="357"/>
    </row>
    <row r="227" spans="1:45" s="358" customFormat="1" ht="12.75" x14ac:dyDescent="0.25">
      <c r="A227" s="359"/>
      <c r="B227" s="359"/>
      <c r="C227" s="359"/>
      <c r="D227" s="359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5"/>
      <c r="V227" s="355"/>
      <c r="W227" s="355"/>
      <c r="X227" s="355"/>
      <c r="Y227" s="355"/>
      <c r="Z227" s="355"/>
      <c r="AA227" s="355"/>
      <c r="AB227" s="355"/>
      <c r="AC227" s="355"/>
      <c r="AD227" s="355"/>
      <c r="AE227" s="355"/>
      <c r="AF227" s="355"/>
      <c r="AG227" s="355"/>
      <c r="AH227" s="355"/>
      <c r="AI227" s="355"/>
      <c r="AJ227" s="355"/>
      <c r="AK227" s="355"/>
      <c r="AL227" s="355"/>
      <c r="AM227" s="355"/>
      <c r="AN227" s="355"/>
      <c r="AO227" s="356"/>
      <c r="AP227" s="356"/>
      <c r="AQ227" s="356"/>
      <c r="AR227" s="356"/>
      <c r="AS227" s="357"/>
    </row>
    <row r="228" spans="1:45" s="358" customFormat="1" ht="12.75" x14ac:dyDescent="0.25">
      <c r="A228" s="359"/>
      <c r="B228" s="359"/>
      <c r="C228" s="359"/>
      <c r="D228" s="359"/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5"/>
      <c r="V228" s="355"/>
      <c r="W228" s="355"/>
      <c r="X228" s="355"/>
      <c r="Y228" s="355"/>
      <c r="Z228" s="355"/>
      <c r="AA228" s="355"/>
      <c r="AB228" s="355"/>
      <c r="AC228" s="355"/>
      <c r="AD228" s="355"/>
      <c r="AE228" s="355"/>
      <c r="AF228" s="355"/>
      <c r="AG228" s="355"/>
      <c r="AH228" s="355"/>
      <c r="AI228" s="355"/>
      <c r="AJ228" s="355"/>
      <c r="AK228" s="355"/>
      <c r="AL228" s="355"/>
      <c r="AM228" s="355"/>
      <c r="AN228" s="355"/>
      <c r="AO228" s="356"/>
      <c r="AP228" s="356"/>
      <c r="AQ228" s="356"/>
      <c r="AR228" s="356"/>
      <c r="AS228" s="357"/>
    </row>
    <row r="229" spans="1:45" s="358" customFormat="1" ht="12.75" x14ac:dyDescent="0.25">
      <c r="A229" s="359"/>
      <c r="B229" s="359"/>
      <c r="C229" s="359"/>
      <c r="D229" s="359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5"/>
      <c r="V229" s="355"/>
      <c r="W229" s="355"/>
      <c r="X229" s="355"/>
      <c r="Y229" s="355"/>
      <c r="Z229" s="355"/>
      <c r="AA229" s="355"/>
      <c r="AB229" s="355"/>
      <c r="AC229" s="355"/>
      <c r="AD229" s="355"/>
      <c r="AE229" s="355"/>
      <c r="AF229" s="355"/>
      <c r="AG229" s="355"/>
      <c r="AH229" s="355"/>
      <c r="AI229" s="355"/>
      <c r="AJ229" s="355"/>
      <c r="AK229" s="355"/>
      <c r="AL229" s="355"/>
      <c r="AM229" s="355"/>
      <c r="AN229" s="355"/>
      <c r="AO229" s="356"/>
      <c r="AP229" s="356"/>
      <c r="AQ229" s="356"/>
      <c r="AR229" s="356"/>
      <c r="AS229" s="357"/>
    </row>
    <row r="230" spans="1:45" s="358" customFormat="1" ht="12.75" x14ac:dyDescent="0.25">
      <c r="A230" s="359"/>
      <c r="B230" s="359"/>
      <c r="C230" s="359"/>
      <c r="D230" s="359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5"/>
      <c r="V230" s="355"/>
      <c r="W230" s="355"/>
      <c r="X230" s="355"/>
      <c r="Y230" s="355"/>
      <c r="Z230" s="355"/>
      <c r="AA230" s="355"/>
      <c r="AB230" s="355"/>
      <c r="AC230" s="355"/>
      <c r="AD230" s="355"/>
      <c r="AE230" s="355"/>
      <c r="AF230" s="355"/>
      <c r="AG230" s="355"/>
      <c r="AH230" s="355"/>
      <c r="AI230" s="355"/>
      <c r="AJ230" s="355"/>
      <c r="AK230" s="355"/>
      <c r="AL230" s="355"/>
      <c r="AM230" s="355"/>
      <c r="AN230" s="355"/>
      <c r="AO230" s="356"/>
      <c r="AP230" s="356"/>
      <c r="AQ230" s="356"/>
      <c r="AR230" s="356"/>
      <c r="AS230" s="357"/>
    </row>
    <row r="231" spans="1:45" s="358" customFormat="1" ht="12.75" x14ac:dyDescent="0.25">
      <c r="A231" s="359"/>
      <c r="B231" s="359"/>
      <c r="C231" s="359"/>
      <c r="D231" s="359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5"/>
      <c r="V231" s="355"/>
      <c r="W231" s="355"/>
      <c r="X231" s="355"/>
      <c r="Y231" s="355"/>
      <c r="Z231" s="355"/>
      <c r="AA231" s="355"/>
      <c r="AB231" s="355"/>
      <c r="AC231" s="355"/>
      <c r="AD231" s="355"/>
      <c r="AE231" s="355"/>
      <c r="AF231" s="355"/>
      <c r="AG231" s="355"/>
      <c r="AH231" s="355"/>
      <c r="AI231" s="355"/>
      <c r="AJ231" s="355"/>
      <c r="AK231" s="355"/>
      <c r="AL231" s="355"/>
      <c r="AM231" s="355"/>
      <c r="AN231" s="355"/>
      <c r="AO231" s="356"/>
      <c r="AP231" s="356"/>
      <c r="AQ231" s="356"/>
      <c r="AR231" s="356"/>
      <c r="AS231" s="357"/>
    </row>
    <row r="232" spans="1:45" s="358" customFormat="1" ht="12.75" x14ac:dyDescent="0.25">
      <c r="A232" s="359"/>
      <c r="B232" s="359"/>
      <c r="C232" s="359"/>
      <c r="D232" s="359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5"/>
      <c r="V232" s="355"/>
      <c r="W232" s="355"/>
      <c r="X232" s="355"/>
      <c r="Y232" s="355"/>
      <c r="Z232" s="355"/>
      <c r="AA232" s="355"/>
      <c r="AB232" s="355"/>
      <c r="AC232" s="355"/>
      <c r="AD232" s="355"/>
      <c r="AE232" s="355"/>
      <c r="AF232" s="355"/>
      <c r="AG232" s="355"/>
      <c r="AH232" s="355"/>
      <c r="AI232" s="355"/>
      <c r="AJ232" s="355"/>
      <c r="AK232" s="355"/>
      <c r="AL232" s="355"/>
      <c r="AM232" s="355"/>
      <c r="AN232" s="355"/>
      <c r="AO232" s="356"/>
      <c r="AP232" s="356"/>
      <c r="AQ232" s="356"/>
      <c r="AR232" s="356"/>
      <c r="AS232" s="357"/>
    </row>
    <row r="233" spans="1:45" s="358" customFormat="1" ht="12.75" x14ac:dyDescent="0.25">
      <c r="A233" s="359"/>
      <c r="B233" s="359"/>
      <c r="C233" s="359"/>
      <c r="D233" s="359"/>
      <c r="E233" s="359"/>
      <c r="F233" s="35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5"/>
      <c r="V233" s="355"/>
      <c r="W233" s="355"/>
      <c r="X233" s="355"/>
      <c r="Y233" s="355"/>
      <c r="Z233" s="355"/>
      <c r="AA233" s="355"/>
      <c r="AB233" s="355"/>
      <c r="AC233" s="355"/>
      <c r="AD233" s="355"/>
      <c r="AE233" s="355"/>
      <c r="AF233" s="355"/>
      <c r="AG233" s="355"/>
      <c r="AH233" s="355"/>
      <c r="AI233" s="355"/>
      <c r="AJ233" s="355"/>
      <c r="AK233" s="355"/>
      <c r="AL233" s="355"/>
      <c r="AM233" s="355"/>
      <c r="AN233" s="355"/>
      <c r="AO233" s="356"/>
      <c r="AP233" s="356"/>
      <c r="AQ233" s="356"/>
      <c r="AR233" s="356"/>
      <c r="AS233" s="357"/>
    </row>
    <row r="234" spans="1:45" s="358" customFormat="1" ht="12.75" x14ac:dyDescent="0.25">
      <c r="A234" s="359"/>
      <c r="B234" s="359"/>
      <c r="C234" s="359"/>
      <c r="D234" s="359"/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5"/>
      <c r="V234" s="355"/>
      <c r="W234" s="355"/>
      <c r="X234" s="355"/>
      <c r="Y234" s="355"/>
      <c r="Z234" s="355"/>
      <c r="AA234" s="355"/>
      <c r="AB234" s="355"/>
      <c r="AC234" s="355"/>
      <c r="AD234" s="355"/>
      <c r="AE234" s="355"/>
      <c r="AF234" s="355"/>
      <c r="AG234" s="355"/>
      <c r="AH234" s="355"/>
      <c r="AI234" s="355"/>
      <c r="AJ234" s="355"/>
      <c r="AK234" s="355"/>
      <c r="AL234" s="355"/>
      <c r="AM234" s="355"/>
      <c r="AN234" s="355"/>
      <c r="AO234" s="356"/>
      <c r="AP234" s="356"/>
      <c r="AQ234" s="356"/>
      <c r="AR234" s="356"/>
      <c r="AS234" s="357"/>
    </row>
    <row r="235" spans="1:45" s="358" customFormat="1" ht="12.75" x14ac:dyDescent="0.25">
      <c r="A235" s="359"/>
      <c r="B235" s="359"/>
      <c r="C235" s="359"/>
      <c r="D235" s="359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355"/>
      <c r="V235" s="355"/>
      <c r="W235" s="355"/>
      <c r="X235" s="355"/>
      <c r="Y235" s="355"/>
      <c r="Z235" s="355"/>
      <c r="AA235" s="355"/>
      <c r="AB235" s="355"/>
      <c r="AC235" s="355"/>
      <c r="AD235" s="355"/>
      <c r="AE235" s="355"/>
      <c r="AF235" s="355"/>
      <c r="AG235" s="355"/>
      <c r="AH235" s="355"/>
      <c r="AI235" s="355"/>
      <c r="AJ235" s="355"/>
      <c r="AK235" s="355"/>
      <c r="AL235" s="355"/>
      <c r="AM235" s="355"/>
      <c r="AN235" s="355"/>
      <c r="AO235" s="356"/>
      <c r="AP235" s="356"/>
      <c r="AQ235" s="356"/>
      <c r="AR235" s="356"/>
      <c r="AS235" s="357"/>
    </row>
    <row r="236" spans="1:45" s="358" customFormat="1" ht="12.75" x14ac:dyDescent="0.25">
      <c r="A236" s="359"/>
      <c r="B236" s="359"/>
      <c r="C236" s="359"/>
      <c r="D236" s="359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355"/>
      <c r="V236" s="355"/>
      <c r="W236" s="355"/>
      <c r="X236" s="355"/>
      <c r="Y236" s="355"/>
      <c r="Z236" s="355"/>
      <c r="AA236" s="355"/>
      <c r="AB236" s="355"/>
      <c r="AC236" s="355"/>
      <c r="AD236" s="355"/>
      <c r="AE236" s="355"/>
      <c r="AF236" s="355"/>
      <c r="AG236" s="355"/>
      <c r="AH236" s="355"/>
      <c r="AI236" s="355"/>
      <c r="AJ236" s="355"/>
      <c r="AK236" s="355"/>
      <c r="AL236" s="355"/>
      <c r="AM236" s="355"/>
      <c r="AN236" s="355"/>
      <c r="AO236" s="356"/>
      <c r="AP236" s="356"/>
      <c r="AQ236" s="356"/>
      <c r="AR236" s="356"/>
      <c r="AS236" s="357"/>
    </row>
    <row r="237" spans="1:45" s="358" customFormat="1" ht="12.75" x14ac:dyDescent="0.25">
      <c r="A237" s="359"/>
      <c r="B237" s="359"/>
      <c r="C237" s="359"/>
      <c r="D237" s="359"/>
      <c r="E237" s="359"/>
      <c r="F237" s="359"/>
      <c r="G237" s="359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5"/>
      <c r="V237" s="355"/>
      <c r="W237" s="355"/>
      <c r="X237" s="355"/>
      <c r="Y237" s="355"/>
      <c r="Z237" s="355"/>
      <c r="AA237" s="355"/>
      <c r="AB237" s="355"/>
      <c r="AC237" s="355"/>
      <c r="AD237" s="355"/>
      <c r="AE237" s="355"/>
      <c r="AF237" s="355"/>
      <c r="AG237" s="355"/>
      <c r="AH237" s="355"/>
      <c r="AI237" s="355"/>
      <c r="AJ237" s="355"/>
      <c r="AK237" s="355"/>
      <c r="AL237" s="355"/>
      <c r="AM237" s="355"/>
      <c r="AN237" s="355"/>
      <c r="AO237" s="356"/>
      <c r="AP237" s="356"/>
      <c r="AQ237" s="356"/>
      <c r="AR237" s="356"/>
      <c r="AS237" s="357"/>
    </row>
    <row r="238" spans="1:45" s="358" customFormat="1" ht="12.75" x14ac:dyDescent="0.25">
      <c r="A238" s="359"/>
      <c r="B238" s="359"/>
      <c r="C238" s="359"/>
      <c r="D238" s="359"/>
      <c r="E238" s="359"/>
      <c r="F238" s="359"/>
      <c r="G238" s="359"/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5"/>
      <c r="V238" s="355"/>
      <c r="W238" s="355"/>
      <c r="X238" s="355"/>
      <c r="Y238" s="355"/>
      <c r="Z238" s="355"/>
      <c r="AA238" s="355"/>
      <c r="AB238" s="355"/>
      <c r="AC238" s="355"/>
      <c r="AD238" s="355"/>
      <c r="AE238" s="355"/>
      <c r="AF238" s="355"/>
      <c r="AG238" s="355"/>
      <c r="AH238" s="355"/>
      <c r="AI238" s="355"/>
      <c r="AJ238" s="355"/>
      <c r="AK238" s="355"/>
      <c r="AL238" s="355"/>
      <c r="AM238" s="355"/>
      <c r="AN238" s="355"/>
      <c r="AO238" s="356"/>
      <c r="AP238" s="356"/>
      <c r="AQ238" s="356"/>
      <c r="AR238" s="356"/>
      <c r="AS238" s="357"/>
    </row>
    <row r="239" spans="1:45" s="358" customFormat="1" ht="12.75" x14ac:dyDescent="0.25">
      <c r="A239" s="359"/>
      <c r="B239" s="359"/>
      <c r="C239" s="359"/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5"/>
      <c r="V239" s="355"/>
      <c r="W239" s="355"/>
      <c r="X239" s="355"/>
      <c r="Y239" s="355"/>
      <c r="Z239" s="355"/>
      <c r="AA239" s="355"/>
      <c r="AB239" s="355"/>
      <c r="AC239" s="355"/>
      <c r="AD239" s="355"/>
      <c r="AE239" s="355"/>
      <c r="AF239" s="355"/>
      <c r="AG239" s="355"/>
      <c r="AH239" s="355"/>
      <c r="AI239" s="355"/>
      <c r="AJ239" s="355"/>
      <c r="AK239" s="355"/>
      <c r="AL239" s="355"/>
      <c r="AM239" s="355"/>
      <c r="AN239" s="355"/>
      <c r="AO239" s="356"/>
      <c r="AP239" s="356"/>
      <c r="AQ239" s="356"/>
      <c r="AR239" s="356"/>
      <c r="AS239" s="357"/>
    </row>
    <row r="240" spans="1:45" s="358" customFormat="1" ht="12.75" x14ac:dyDescent="0.25">
      <c r="A240" s="359"/>
      <c r="B240" s="359"/>
      <c r="C240" s="359"/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5"/>
      <c r="V240" s="355"/>
      <c r="W240" s="355"/>
      <c r="X240" s="355"/>
      <c r="Y240" s="355"/>
      <c r="Z240" s="355"/>
      <c r="AA240" s="355"/>
      <c r="AB240" s="355"/>
      <c r="AC240" s="355"/>
      <c r="AD240" s="355"/>
      <c r="AE240" s="355"/>
      <c r="AF240" s="355"/>
      <c r="AG240" s="355"/>
      <c r="AH240" s="355"/>
      <c r="AI240" s="355"/>
      <c r="AJ240" s="355"/>
      <c r="AK240" s="355"/>
      <c r="AL240" s="355"/>
      <c r="AM240" s="355"/>
      <c r="AN240" s="355"/>
      <c r="AO240" s="356"/>
      <c r="AP240" s="356"/>
      <c r="AQ240" s="356"/>
      <c r="AR240" s="356"/>
      <c r="AS240" s="357"/>
    </row>
    <row r="241" spans="1:45" s="358" customFormat="1" ht="12.75" x14ac:dyDescent="0.25">
      <c r="A241" s="359"/>
      <c r="B241" s="359"/>
      <c r="C241" s="359"/>
      <c r="D241" s="359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5"/>
      <c r="V241" s="355"/>
      <c r="W241" s="355"/>
      <c r="X241" s="355"/>
      <c r="Y241" s="355"/>
      <c r="Z241" s="355"/>
      <c r="AA241" s="355"/>
      <c r="AB241" s="355"/>
      <c r="AC241" s="355"/>
      <c r="AD241" s="355"/>
      <c r="AE241" s="355"/>
      <c r="AF241" s="355"/>
      <c r="AG241" s="355"/>
      <c r="AH241" s="355"/>
      <c r="AI241" s="355"/>
      <c r="AJ241" s="355"/>
      <c r="AK241" s="355"/>
      <c r="AL241" s="355"/>
      <c r="AM241" s="355"/>
      <c r="AN241" s="355"/>
      <c r="AO241" s="356"/>
      <c r="AP241" s="356"/>
      <c r="AQ241" s="356"/>
      <c r="AR241" s="356"/>
      <c r="AS241" s="357"/>
    </row>
    <row r="242" spans="1:45" s="358" customFormat="1" ht="12.75" x14ac:dyDescent="0.25">
      <c r="A242" s="359"/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5"/>
      <c r="V242" s="355"/>
      <c r="W242" s="355"/>
      <c r="X242" s="355"/>
      <c r="Y242" s="355"/>
      <c r="Z242" s="355"/>
      <c r="AA242" s="355"/>
      <c r="AB242" s="355"/>
      <c r="AC242" s="355"/>
      <c r="AD242" s="355"/>
      <c r="AE242" s="355"/>
      <c r="AF242" s="355"/>
      <c r="AG242" s="355"/>
      <c r="AH242" s="355"/>
      <c r="AI242" s="355"/>
      <c r="AJ242" s="355"/>
      <c r="AK242" s="355"/>
      <c r="AL242" s="355"/>
      <c r="AM242" s="355"/>
      <c r="AN242" s="355"/>
      <c r="AO242" s="356"/>
      <c r="AP242" s="356"/>
      <c r="AQ242" s="356"/>
      <c r="AR242" s="356"/>
      <c r="AS242" s="357"/>
    </row>
    <row r="243" spans="1:45" s="358" customFormat="1" ht="12.75" x14ac:dyDescent="0.25">
      <c r="A243" s="359"/>
      <c r="B243" s="359"/>
      <c r="C243" s="359"/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5"/>
      <c r="V243" s="355"/>
      <c r="W243" s="355"/>
      <c r="X243" s="355"/>
      <c r="Y243" s="355"/>
      <c r="Z243" s="355"/>
      <c r="AA243" s="355"/>
      <c r="AB243" s="355"/>
      <c r="AC243" s="355"/>
      <c r="AD243" s="355"/>
      <c r="AE243" s="355"/>
      <c r="AF243" s="355"/>
      <c r="AG243" s="355"/>
      <c r="AH243" s="355"/>
      <c r="AI243" s="355"/>
      <c r="AJ243" s="355"/>
      <c r="AK243" s="355"/>
      <c r="AL243" s="355"/>
      <c r="AM243" s="355"/>
      <c r="AN243" s="355"/>
      <c r="AO243" s="356"/>
      <c r="AP243" s="356"/>
      <c r="AQ243" s="356"/>
      <c r="AR243" s="356"/>
      <c r="AS243" s="357"/>
    </row>
    <row r="244" spans="1:45" s="358" customFormat="1" ht="12.75" x14ac:dyDescent="0.25">
      <c r="A244" s="359"/>
      <c r="B244" s="359"/>
      <c r="C244" s="359"/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5"/>
      <c r="V244" s="355"/>
      <c r="W244" s="355"/>
      <c r="X244" s="355"/>
      <c r="Y244" s="355"/>
      <c r="Z244" s="355"/>
      <c r="AA244" s="355"/>
      <c r="AB244" s="355"/>
      <c r="AC244" s="355"/>
      <c r="AD244" s="355"/>
      <c r="AE244" s="355"/>
      <c r="AF244" s="355"/>
      <c r="AG244" s="355"/>
      <c r="AH244" s="355"/>
      <c r="AI244" s="355"/>
      <c r="AJ244" s="355"/>
      <c r="AK244" s="355"/>
      <c r="AL244" s="355"/>
      <c r="AM244" s="355"/>
      <c r="AN244" s="355"/>
      <c r="AO244" s="356"/>
      <c r="AP244" s="356"/>
      <c r="AQ244" s="356"/>
      <c r="AR244" s="356"/>
      <c r="AS244" s="357"/>
    </row>
    <row r="245" spans="1:45" s="358" customFormat="1" ht="12.75" x14ac:dyDescent="0.25">
      <c r="A245" s="359"/>
      <c r="B245" s="359"/>
      <c r="C245" s="359"/>
      <c r="D245" s="359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5"/>
      <c r="V245" s="355"/>
      <c r="W245" s="355"/>
      <c r="X245" s="355"/>
      <c r="Y245" s="355"/>
      <c r="Z245" s="355"/>
      <c r="AA245" s="355"/>
      <c r="AB245" s="355"/>
      <c r="AC245" s="355"/>
      <c r="AD245" s="355"/>
      <c r="AE245" s="355"/>
      <c r="AF245" s="355"/>
      <c r="AG245" s="355"/>
      <c r="AH245" s="355"/>
      <c r="AI245" s="355"/>
      <c r="AJ245" s="355"/>
      <c r="AK245" s="355"/>
      <c r="AL245" s="355"/>
      <c r="AM245" s="355"/>
      <c r="AN245" s="355"/>
      <c r="AO245" s="356"/>
      <c r="AP245" s="356"/>
      <c r="AQ245" s="356"/>
      <c r="AR245" s="356"/>
      <c r="AS245" s="357"/>
    </row>
    <row r="246" spans="1:45" s="358" customFormat="1" ht="12.75" x14ac:dyDescent="0.25">
      <c r="A246" s="359"/>
      <c r="B246" s="359"/>
      <c r="C246" s="359"/>
      <c r="D246" s="359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5"/>
      <c r="V246" s="355"/>
      <c r="W246" s="355"/>
      <c r="X246" s="355"/>
      <c r="Y246" s="355"/>
      <c r="Z246" s="355"/>
      <c r="AA246" s="355"/>
      <c r="AB246" s="355"/>
      <c r="AC246" s="355"/>
      <c r="AD246" s="355"/>
      <c r="AE246" s="355"/>
      <c r="AF246" s="355"/>
      <c r="AG246" s="355"/>
      <c r="AH246" s="355"/>
      <c r="AI246" s="355"/>
      <c r="AJ246" s="355"/>
      <c r="AK246" s="355"/>
      <c r="AL246" s="355"/>
      <c r="AM246" s="355"/>
      <c r="AN246" s="355"/>
      <c r="AO246" s="356"/>
      <c r="AP246" s="356"/>
      <c r="AQ246" s="356"/>
      <c r="AR246" s="356"/>
      <c r="AS246" s="357"/>
    </row>
    <row r="247" spans="1:45" s="358" customFormat="1" ht="12.75" x14ac:dyDescent="0.25">
      <c r="A247" s="359"/>
      <c r="B247" s="359"/>
      <c r="C247" s="359"/>
      <c r="D247" s="359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5"/>
      <c r="V247" s="355"/>
      <c r="W247" s="355"/>
      <c r="X247" s="355"/>
      <c r="Y247" s="355"/>
      <c r="Z247" s="355"/>
      <c r="AA247" s="355"/>
      <c r="AB247" s="355"/>
      <c r="AC247" s="355"/>
      <c r="AD247" s="355"/>
      <c r="AE247" s="355"/>
      <c r="AF247" s="355"/>
      <c r="AG247" s="355"/>
      <c r="AH247" s="355"/>
      <c r="AI247" s="355"/>
      <c r="AJ247" s="355"/>
      <c r="AK247" s="355"/>
      <c r="AL247" s="355"/>
      <c r="AM247" s="355"/>
      <c r="AN247" s="355"/>
      <c r="AO247" s="356"/>
      <c r="AP247" s="356"/>
      <c r="AQ247" s="356"/>
      <c r="AR247" s="356"/>
      <c r="AS247" s="357"/>
    </row>
    <row r="248" spans="1:45" s="358" customFormat="1" ht="12.75" x14ac:dyDescent="0.25">
      <c r="A248" s="359"/>
      <c r="B248" s="359"/>
      <c r="C248" s="359"/>
      <c r="D248" s="359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5"/>
      <c r="V248" s="355"/>
      <c r="W248" s="355"/>
      <c r="X248" s="355"/>
      <c r="Y248" s="355"/>
      <c r="Z248" s="355"/>
      <c r="AA248" s="355"/>
      <c r="AB248" s="355"/>
      <c r="AC248" s="355"/>
      <c r="AD248" s="355"/>
      <c r="AE248" s="355"/>
      <c r="AF248" s="355"/>
      <c r="AG248" s="355"/>
      <c r="AH248" s="355"/>
      <c r="AI248" s="355"/>
      <c r="AJ248" s="355"/>
      <c r="AK248" s="355"/>
      <c r="AL248" s="355"/>
      <c r="AM248" s="355"/>
      <c r="AN248" s="355"/>
      <c r="AO248" s="356"/>
      <c r="AP248" s="356"/>
      <c r="AQ248" s="356"/>
      <c r="AR248" s="356"/>
      <c r="AS248" s="357"/>
    </row>
    <row r="249" spans="1:45" s="358" customFormat="1" ht="12.75" x14ac:dyDescent="0.25">
      <c r="A249" s="359"/>
      <c r="B249" s="359"/>
      <c r="C249" s="359"/>
      <c r="D249" s="359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5"/>
      <c r="V249" s="355"/>
      <c r="W249" s="355"/>
      <c r="X249" s="355"/>
      <c r="Y249" s="355"/>
      <c r="Z249" s="355"/>
      <c r="AA249" s="355"/>
      <c r="AB249" s="355"/>
      <c r="AC249" s="355"/>
      <c r="AD249" s="355"/>
      <c r="AE249" s="355"/>
      <c r="AF249" s="355"/>
      <c r="AG249" s="355"/>
      <c r="AH249" s="355"/>
      <c r="AI249" s="355"/>
      <c r="AJ249" s="355"/>
      <c r="AK249" s="355"/>
      <c r="AL249" s="355"/>
      <c r="AM249" s="355"/>
      <c r="AN249" s="355"/>
      <c r="AO249" s="356"/>
      <c r="AP249" s="356"/>
      <c r="AQ249" s="356"/>
      <c r="AR249" s="356"/>
      <c r="AS249" s="357"/>
    </row>
    <row r="250" spans="1:45" s="358" customFormat="1" ht="12.75" x14ac:dyDescent="0.25">
      <c r="A250" s="359"/>
      <c r="B250" s="359"/>
      <c r="C250" s="359"/>
      <c r="D250" s="359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5"/>
      <c r="V250" s="355"/>
      <c r="W250" s="355"/>
      <c r="X250" s="355"/>
      <c r="Y250" s="355"/>
      <c r="Z250" s="355"/>
      <c r="AA250" s="355"/>
      <c r="AB250" s="355"/>
      <c r="AC250" s="355"/>
      <c r="AD250" s="355"/>
      <c r="AE250" s="355"/>
      <c r="AF250" s="355"/>
      <c r="AG250" s="355"/>
      <c r="AH250" s="355"/>
      <c r="AI250" s="355"/>
      <c r="AJ250" s="355"/>
      <c r="AK250" s="355"/>
      <c r="AL250" s="355"/>
      <c r="AM250" s="355"/>
      <c r="AN250" s="355"/>
      <c r="AO250" s="356"/>
      <c r="AP250" s="356"/>
      <c r="AQ250" s="356"/>
      <c r="AR250" s="356"/>
      <c r="AS250" s="357"/>
    </row>
    <row r="251" spans="1:45" s="358" customFormat="1" ht="12.75" x14ac:dyDescent="0.25">
      <c r="A251" s="359"/>
      <c r="B251" s="359"/>
      <c r="C251" s="359"/>
      <c r="D251" s="359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5"/>
      <c r="V251" s="355"/>
      <c r="W251" s="355"/>
      <c r="X251" s="355"/>
      <c r="Y251" s="355"/>
      <c r="Z251" s="355"/>
      <c r="AA251" s="355"/>
      <c r="AB251" s="355"/>
      <c r="AC251" s="355"/>
      <c r="AD251" s="355"/>
      <c r="AE251" s="355"/>
      <c r="AF251" s="355"/>
      <c r="AG251" s="355"/>
      <c r="AH251" s="355"/>
      <c r="AI251" s="355"/>
      <c r="AJ251" s="355"/>
      <c r="AK251" s="355"/>
      <c r="AL251" s="355"/>
      <c r="AM251" s="355"/>
      <c r="AN251" s="355"/>
      <c r="AO251" s="356"/>
      <c r="AP251" s="356"/>
      <c r="AQ251" s="356"/>
      <c r="AR251" s="356"/>
      <c r="AS251" s="357"/>
    </row>
    <row r="252" spans="1:45" s="358" customFormat="1" ht="12.75" x14ac:dyDescent="0.25">
      <c r="A252" s="359"/>
      <c r="B252" s="359"/>
      <c r="C252" s="359"/>
      <c r="D252" s="359"/>
      <c r="E252" s="359"/>
      <c r="F252" s="35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5"/>
      <c r="V252" s="355"/>
      <c r="W252" s="355"/>
      <c r="X252" s="355"/>
      <c r="Y252" s="355"/>
      <c r="Z252" s="355"/>
      <c r="AA252" s="355"/>
      <c r="AB252" s="355"/>
      <c r="AC252" s="355"/>
      <c r="AD252" s="355"/>
      <c r="AE252" s="355"/>
      <c r="AF252" s="355"/>
      <c r="AG252" s="355"/>
      <c r="AH252" s="355"/>
      <c r="AI252" s="355"/>
      <c r="AJ252" s="355"/>
      <c r="AK252" s="355"/>
      <c r="AL252" s="355"/>
      <c r="AM252" s="355"/>
      <c r="AN252" s="355"/>
      <c r="AO252" s="356"/>
      <c r="AP252" s="356"/>
      <c r="AQ252" s="356"/>
      <c r="AR252" s="356"/>
      <c r="AS252" s="357"/>
    </row>
    <row r="253" spans="1:45" s="358" customFormat="1" ht="12.75" x14ac:dyDescent="0.25">
      <c r="A253" s="359"/>
      <c r="B253" s="359"/>
      <c r="C253" s="359"/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55"/>
      <c r="V253" s="355"/>
      <c r="W253" s="355"/>
      <c r="X253" s="355"/>
      <c r="Y253" s="355"/>
      <c r="Z253" s="355"/>
      <c r="AA253" s="355"/>
      <c r="AB253" s="355"/>
      <c r="AC253" s="355"/>
      <c r="AD253" s="355"/>
      <c r="AE253" s="355"/>
      <c r="AF253" s="355"/>
      <c r="AG253" s="355"/>
      <c r="AH253" s="355"/>
      <c r="AI253" s="355"/>
      <c r="AJ253" s="355"/>
      <c r="AK253" s="355"/>
      <c r="AL253" s="355"/>
      <c r="AM253" s="355"/>
      <c r="AN253" s="355"/>
      <c r="AO253" s="356"/>
      <c r="AP253" s="356"/>
      <c r="AQ253" s="356"/>
      <c r="AR253" s="356"/>
      <c r="AS253" s="357"/>
    </row>
    <row r="254" spans="1:45" x14ac:dyDescent="0.25">
      <c r="A254" s="359"/>
      <c r="B254" s="359"/>
      <c r="C254" s="359"/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AO254" t="s">
        <v>331</v>
      </c>
    </row>
    <row r="255" spans="1:45" x14ac:dyDescent="0.25">
      <c r="A255" s="359"/>
      <c r="B255" s="359"/>
      <c r="C255" s="359"/>
      <c r="D255" s="359"/>
      <c r="E255" s="359"/>
      <c r="F255" s="359"/>
      <c r="G255" s="359"/>
      <c r="H255" s="359"/>
      <c r="I255" s="359"/>
      <c r="J255" s="359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</row>
    <row r="256" spans="1:45" x14ac:dyDescent="0.25">
      <c r="A256" s="359"/>
      <c r="B256" s="359"/>
      <c r="C256" s="359"/>
      <c r="D256" s="359"/>
      <c r="E256" s="359"/>
      <c r="F256" s="359"/>
      <c r="G256" s="359"/>
      <c r="H256" s="359"/>
      <c r="I256" s="359"/>
      <c r="J256" s="359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</row>
    <row r="258" spans="41:41" x14ac:dyDescent="0.25">
      <c r="AO258" t="s">
        <v>332</v>
      </c>
    </row>
    <row r="259" spans="41:41" x14ac:dyDescent="0.25">
      <c r="AO259" t="s">
        <v>333</v>
      </c>
    </row>
    <row r="260" spans="41:41" x14ac:dyDescent="0.25">
      <c r="AO260" t="s">
        <v>334</v>
      </c>
    </row>
  </sheetData>
  <mergeCells count="81">
    <mergeCell ref="A1:AS1"/>
    <mergeCell ref="A2:AS2"/>
    <mergeCell ref="A3:AS3"/>
    <mergeCell ref="A4:AS4"/>
    <mergeCell ref="A10:A12"/>
    <mergeCell ref="B10:B12"/>
    <mergeCell ref="C10:C12"/>
    <mergeCell ref="D10:D12"/>
    <mergeCell ref="E10:E12"/>
    <mergeCell ref="F10:H11"/>
    <mergeCell ref="I10:T10"/>
    <mergeCell ref="U10:AF10"/>
    <mergeCell ref="AG10:AR10"/>
    <mergeCell ref="AS10:AS12"/>
    <mergeCell ref="I11:J11"/>
    <mergeCell ref="K11:L11"/>
    <mergeCell ref="M11:N11"/>
    <mergeCell ref="O11:P11"/>
    <mergeCell ref="Q11:R11"/>
    <mergeCell ref="S11:T11"/>
    <mergeCell ref="AQ11:AR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70:T70"/>
    <mergeCell ref="A59:T59"/>
    <mergeCell ref="F12:G12"/>
    <mergeCell ref="F13:H13"/>
    <mergeCell ref="AS16:AS40"/>
    <mergeCell ref="A41:T41"/>
    <mergeCell ref="A42:T42"/>
    <mergeCell ref="AS44:AS49"/>
    <mergeCell ref="A50:T50"/>
    <mergeCell ref="A51:T51"/>
    <mergeCell ref="A54:T54"/>
    <mergeCell ref="A55:T55"/>
    <mergeCell ref="AS57:AS58"/>
    <mergeCell ref="A14:AS14"/>
    <mergeCell ref="A60:T60"/>
    <mergeCell ref="AS63:AS64"/>
    <mergeCell ref="A65:T65"/>
    <mergeCell ref="A66:T66"/>
    <mergeCell ref="AS68:AS69"/>
    <mergeCell ref="A182:T182"/>
    <mergeCell ref="AS186:AS193"/>
    <mergeCell ref="A145:A149"/>
    <mergeCell ref="B145:B149"/>
    <mergeCell ref="C145:C149"/>
    <mergeCell ref="AS150:AS160"/>
    <mergeCell ref="A163:T163"/>
    <mergeCell ref="A164:T164"/>
    <mergeCell ref="A167:T167"/>
    <mergeCell ref="A168:T168"/>
    <mergeCell ref="AS171:AS180"/>
    <mergeCell ref="A181:T181"/>
    <mergeCell ref="A144:T144"/>
    <mergeCell ref="A71:T71"/>
    <mergeCell ref="AS76:AS84"/>
    <mergeCell ref="A85:T85"/>
    <mergeCell ref="A86:T86"/>
    <mergeCell ref="A87:A105"/>
    <mergeCell ref="B87:B105"/>
    <mergeCell ref="C87:C105"/>
    <mergeCell ref="AS106:AS130"/>
    <mergeCell ref="A131:T131"/>
    <mergeCell ref="A132:T132"/>
    <mergeCell ref="AS134:AS142"/>
    <mergeCell ref="A143:T143"/>
    <mergeCell ref="A194:T194"/>
    <mergeCell ref="A195:T195"/>
    <mergeCell ref="A200:S200"/>
    <mergeCell ref="A201:T201"/>
    <mergeCell ref="A202:T20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0"/>
  <sheetViews>
    <sheetView topLeftCell="A2" zoomScaleNormal="100" zoomScaleSheetLayoutView="100" workbookViewId="0">
      <pane xSplit="4" ySplit="10" topLeftCell="N63" activePane="bottomRight" state="frozen"/>
      <selection activeCell="A2" sqref="A2"/>
      <selection pane="topRight" activeCell="E2" sqref="E2"/>
      <selection pane="bottomLeft" activeCell="A12" sqref="A12"/>
      <selection pane="bottomRight" activeCell="AB67" sqref="AB67"/>
    </sheetView>
  </sheetViews>
  <sheetFormatPr defaultRowHeight="15" x14ac:dyDescent="0.25"/>
  <cols>
    <col min="1" max="1" width="3.42578125" customWidth="1"/>
    <col min="2" max="2" width="13" style="10" customWidth="1"/>
    <col min="3" max="3" width="31" customWidth="1"/>
    <col min="4" max="4" width="28.7109375" customWidth="1"/>
    <col min="5" max="5" width="10.140625" customWidth="1"/>
    <col min="6" max="6" width="6.140625" customWidth="1"/>
    <col min="7" max="7" width="5.5703125" customWidth="1"/>
    <col min="8" max="8" width="9.42578125" customWidth="1"/>
    <col min="9" max="9" width="7.28515625" customWidth="1"/>
    <col min="10" max="10" width="9.28515625" customWidth="1"/>
    <col min="11" max="13" width="7.28515625" customWidth="1"/>
    <col min="14" max="14" width="8.5703125" customWidth="1"/>
    <col min="15" max="15" width="6.28515625" customWidth="1"/>
    <col min="16" max="16" width="8.140625" customWidth="1"/>
    <col min="17" max="17" width="6.140625" customWidth="1"/>
    <col min="18" max="18" width="8.140625" customWidth="1"/>
    <col min="19" max="19" width="5.5703125" customWidth="1"/>
    <col min="21" max="21" width="6.42578125" customWidth="1"/>
    <col min="23" max="23" width="6" customWidth="1"/>
    <col min="25" max="25" width="7.28515625" customWidth="1"/>
    <col min="26" max="26" width="7.7109375" customWidth="1"/>
    <col min="27" max="27" width="6.5703125" customWidth="1"/>
    <col min="28" max="28" width="7.5703125" customWidth="1"/>
    <col min="29" max="29" width="7.42578125" customWidth="1"/>
    <col min="30" max="30" width="8.140625" customWidth="1"/>
    <col min="31" max="31" width="6.28515625" customWidth="1"/>
    <col min="32" max="32" width="7.5703125" customWidth="1"/>
    <col min="33" max="33" width="8.7109375" bestFit="1" customWidth="1"/>
    <col min="34" max="34" width="9.28515625" bestFit="1" customWidth="1"/>
    <col min="35" max="35" width="8.7109375" bestFit="1" customWidth="1"/>
    <col min="37" max="40" width="9.42578125" bestFit="1" customWidth="1"/>
    <col min="41" max="41" width="10.28515625" customWidth="1"/>
    <col min="43" max="44" width="9.42578125" bestFit="1" customWidth="1"/>
    <col min="45" max="45" width="11.28515625" customWidth="1"/>
  </cols>
  <sheetData>
    <row r="1" spans="1:47" s="6" customFormat="1" ht="22.5" x14ac:dyDescent="0.25">
      <c r="A1" s="791" t="s">
        <v>432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1"/>
      <c r="AN1" s="791"/>
      <c r="AO1" s="791"/>
      <c r="AP1" s="791"/>
      <c r="AQ1" s="791"/>
      <c r="AR1" s="791"/>
      <c r="AS1" s="791"/>
    </row>
    <row r="2" spans="1:47" s="6" customFormat="1" ht="22.5" x14ac:dyDescent="0.25">
      <c r="A2" s="792" t="s">
        <v>431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792"/>
      <c r="AI2" s="792"/>
      <c r="AJ2" s="792"/>
      <c r="AK2" s="792"/>
      <c r="AL2" s="792"/>
      <c r="AM2" s="792"/>
      <c r="AN2" s="792"/>
      <c r="AO2" s="792"/>
      <c r="AP2" s="792"/>
      <c r="AQ2" s="792"/>
      <c r="AR2" s="792"/>
      <c r="AS2" s="792"/>
    </row>
    <row r="3" spans="1:47" s="6" customFormat="1" ht="22.5" x14ac:dyDescent="0.25">
      <c r="A3" s="791" t="s">
        <v>60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/>
      <c r="X3" s="791"/>
      <c r="Y3" s="791"/>
      <c r="Z3" s="791"/>
      <c r="AA3" s="791"/>
      <c r="AB3" s="791"/>
      <c r="AC3" s="791"/>
      <c r="AD3" s="791"/>
      <c r="AE3" s="791"/>
      <c r="AF3" s="791"/>
      <c r="AG3" s="791"/>
      <c r="AH3" s="791"/>
      <c r="AI3" s="791"/>
      <c r="AJ3" s="791"/>
      <c r="AK3" s="791"/>
      <c r="AL3" s="791"/>
      <c r="AM3" s="791"/>
      <c r="AN3" s="791"/>
      <c r="AO3" s="791"/>
      <c r="AP3" s="791"/>
      <c r="AQ3" s="791"/>
      <c r="AR3" s="791"/>
      <c r="AS3" s="791"/>
    </row>
    <row r="4" spans="1:47" s="6" customFormat="1" ht="22.5" x14ac:dyDescent="0.25">
      <c r="A4" s="792"/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AS4" s="792"/>
    </row>
    <row r="5" spans="1:47" s="6" customFormat="1" ht="22.5" x14ac:dyDescent="0.25">
      <c r="A5" s="7" t="s">
        <v>433</v>
      </c>
      <c r="B5" s="8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2"/>
      <c r="AO5" s="472"/>
      <c r="AP5" s="472"/>
      <c r="AQ5" s="472"/>
      <c r="AR5" s="472"/>
      <c r="AS5" s="472"/>
      <c r="AU5" s="610"/>
    </row>
    <row r="6" spans="1:47" ht="15.75" thickBot="1" x14ac:dyDescent="0.3"/>
    <row r="7" spans="1:47" s="1" customFormat="1" ht="20.100000000000001" customHeight="1" x14ac:dyDescent="0.25">
      <c r="A7" s="740" t="s">
        <v>0</v>
      </c>
      <c r="B7" s="743" t="s">
        <v>27</v>
      </c>
      <c r="C7" s="743" t="s">
        <v>28</v>
      </c>
      <c r="D7" s="743" t="s">
        <v>29</v>
      </c>
      <c r="E7" s="743" t="s">
        <v>63</v>
      </c>
      <c r="F7" s="711" t="s">
        <v>64</v>
      </c>
      <c r="G7" s="712"/>
      <c r="H7" s="713"/>
      <c r="I7" s="796" t="s">
        <v>65</v>
      </c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8"/>
      <c r="U7" s="737" t="s">
        <v>66</v>
      </c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9"/>
      <c r="AG7" s="737" t="s">
        <v>67</v>
      </c>
      <c r="AH7" s="738"/>
      <c r="AI7" s="738"/>
      <c r="AJ7" s="738"/>
      <c r="AK7" s="738"/>
      <c r="AL7" s="738"/>
      <c r="AM7" s="738"/>
      <c r="AN7" s="738"/>
      <c r="AO7" s="738"/>
      <c r="AP7" s="738"/>
      <c r="AQ7" s="738"/>
      <c r="AR7" s="739"/>
      <c r="AS7" s="701" t="s">
        <v>34</v>
      </c>
    </row>
    <row r="8" spans="1:47" s="1" customFormat="1" ht="32.450000000000003" customHeight="1" x14ac:dyDescent="0.25">
      <c r="A8" s="741"/>
      <c r="B8" s="744"/>
      <c r="C8" s="744"/>
      <c r="D8" s="744"/>
      <c r="E8" s="744"/>
      <c r="F8" s="714"/>
      <c r="G8" s="715"/>
      <c r="H8" s="716"/>
      <c r="I8" s="789">
        <v>2016</v>
      </c>
      <c r="J8" s="790"/>
      <c r="K8" s="789">
        <v>2017</v>
      </c>
      <c r="L8" s="790"/>
      <c r="M8" s="789">
        <v>2018</v>
      </c>
      <c r="N8" s="790"/>
      <c r="O8" s="789">
        <v>2019</v>
      </c>
      <c r="P8" s="790"/>
      <c r="Q8" s="789">
        <v>2020</v>
      </c>
      <c r="R8" s="790"/>
      <c r="S8" s="789">
        <v>2021</v>
      </c>
      <c r="T8" s="790"/>
      <c r="U8" s="789">
        <v>2016</v>
      </c>
      <c r="V8" s="790"/>
      <c r="W8" s="789">
        <v>2017</v>
      </c>
      <c r="X8" s="790"/>
      <c r="Y8" s="789">
        <v>2018</v>
      </c>
      <c r="Z8" s="790"/>
      <c r="AA8" s="789">
        <v>2019</v>
      </c>
      <c r="AB8" s="790"/>
      <c r="AC8" s="789">
        <v>2020</v>
      </c>
      <c r="AD8" s="790"/>
      <c r="AE8" s="789">
        <v>2021</v>
      </c>
      <c r="AF8" s="790"/>
      <c r="AG8" s="789">
        <v>2016</v>
      </c>
      <c r="AH8" s="790"/>
      <c r="AI8" s="789">
        <v>2017</v>
      </c>
      <c r="AJ8" s="790"/>
      <c r="AK8" s="789">
        <v>2018</v>
      </c>
      <c r="AL8" s="790"/>
      <c r="AM8" s="789">
        <v>2019</v>
      </c>
      <c r="AN8" s="790"/>
      <c r="AO8" s="789">
        <v>2020</v>
      </c>
      <c r="AP8" s="790"/>
      <c r="AQ8" s="789">
        <v>2021</v>
      </c>
      <c r="AR8" s="790"/>
      <c r="AS8" s="702"/>
    </row>
    <row r="9" spans="1:47" s="1" customFormat="1" ht="18.600000000000001" customHeight="1" x14ac:dyDescent="0.25">
      <c r="A9" s="742"/>
      <c r="B9" s="745"/>
      <c r="C9" s="745"/>
      <c r="D9" s="745"/>
      <c r="E9" s="745"/>
      <c r="F9" s="729" t="s">
        <v>39</v>
      </c>
      <c r="G9" s="730"/>
      <c r="H9" s="2" t="s">
        <v>40</v>
      </c>
      <c r="I9" s="2" t="s">
        <v>39</v>
      </c>
      <c r="J9" s="2" t="s">
        <v>40</v>
      </c>
      <c r="K9" s="2" t="s">
        <v>39</v>
      </c>
      <c r="L9" s="2" t="s">
        <v>40</v>
      </c>
      <c r="M9" s="2" t="s">
        <v>39</v>
      </c>
      <c r="N9" s="2" t="s">
        <v>40</v>
      </c>
      <c r="O9" s="2" t="s">
        <v>39</v>
      </c>
      <c r="P9" s="2" t="s">
        <v>40</v>
      </c>
      <c r="Q9" s="2" t="s">
        <v>39</v>
      </c>
      <c r="R9" s="2" t="s">
        <v>40</v>
      </c>
      <c r="S9" s="2" t="s">
        <v>39</v>
      </c>
      <c r="T9" s="2" t="s">
        <v>40</v>
      </c>
      <c r="U9" s="2" t="s">
        <v>39</v>
      </c>
      <c r="V9" s="2" t="s">
        <v>40</v>
      </c>
      <c r="W9" s="2" t="s">
        <v>39</v>
      </c>
      <c r="X9" s="2" t="s">
        <v>40</v>
      </c>
      <c r="Y9" s="2" t="s">
        <v>39</v>
      </c>
      <c r="Z9" s="2" t="s">
        <v>40</v>
      </c>
      <c r="AA9" s="2" t="s">
        <v>39</v>
      </c>
      <c r="AB9" s="2" t="s">
        <v>40</v>
      </c>
      <c r="AC9" s="2" t="s">
        <v>39</v>
      </c>
      <c r="AD9" s="2" t="s">
        <v>40</v>
      </c>
      <c r="AE9" s="2" t="s">
        <v>39</v>
      </c>
      <c r="AF9" s="2" t="s">
        <v>40</v>
      </c>
      <c r="AG9" s="2" t="s">
        <v>39</v>
      </c>
      <c r="AH9" s="2" t="s">
        <v>40</v>
      </c>
      <c r="AI9" s="2" t="s">
        <v>39</v>
      </c>
      <c r="AJ9" s="2" t="s">
        <v>40</v>
      </c>
      <c r="AK9" s="2" t="s">
        <v>39</v>
      </c>
      <c r="AL9" s="2" t="s">
        <v>40</v>
      </c>
      <c r="AM9" s="2" t="s">
        <v>39</v>
      </c>
      <c r="AN9" s="2" t="s">
        <v>40</v>
      </c>
      <c r="AO9" s="2" t="s">
        <v>39</v>
      </c>
      <c r="AP9" s="2" t="s">
        <v>40</v>
      </c>
      <c r="AQ9" s="2" t="s">
        <v>39</v>
      </c>
      <c r="AR9" s="2" t="s">
        <v>40</v>
      </c>
      <c r="AS9" s="703"/>
    </row>
    <row r="10" spans="1:47" s="17" customFormat="1" ht="14.45" customHeight="1" x14ac:dyDescent="0.25">
      <c r="A10" s="11">
        <v>1</v>
      </c>
      <c r="B10" s="2">
        <v>2</v>
      </c>
      <c r="C10" s="2">
        <v>3</v>
      </c>
      <c r="D10" s="2">
        <v>4</v>
      </c>
      <c r="E10" s="469">
        <v>5</v>
      </c>
      <c r="F10" s="783">
        <v>5</v>
      </c>
      <c r="G10" s="784"/>
      <c r="H10" s="785"/>
      <c r="I10" s="469">
        <v>6</v>
      </c>
      <c r="J10" s="470">
        <v>7</v>
      </c>
      <c r="K10" s="470">
        <v>8</v>
      </c>
      <c r="L10" s="470">
        <v>9</v>
      </c>
      <c r="M10" s="470">
        <v>10</v>
      </c>
      <c r="N10" s="471">
        <v>11</v>
      </c>
      <c r="O10" s="470">
        <v>12</v>
      </c>
      <c r="P10" s="470">
        <v>13</v>
      </c>
      <c r="Q10" s="470">
        <v>14</v>
      </c>
      <c r="R10" s="470">
        <v>15</v>
      </c>
      <c r="S10" s="469">
        <v>16</v>
      </c>
      <c r="T10" s="471">
        <v>17</v>
      </c>
      <c r="U10" s="469">
        <v>18</v>
      </c>
      <c r="V10" s="471">
        <v>19</v>
      </c>
      <c r="W10" s="469">
        <v>20</v>
      </c>
      <c r="X10" s="471">
        <v>21</v>
      </c>
      <c r="Y10" s="469">
        <v>22</v>
      </c>
      <c r="Z10" s="471">
        <v>23</v>
      </c>
      <c r="AA10" s="470">
        <v>24</v>
      </c>
      <c r="AB10" s="470">
        <v>25</v>
      </c>
      <c r="AC10" s="470">
        <v>26</v>
      </c>
      <c r="AD10" s="470">
        <v>27</v>
      </c>
      <c r="AE10" s="470">
        <v>28</v>
      </c>
      <c r="AF10" s="470">
        <v>29</v>
      </c>
      <c r="AG10" s="15" t="s">
        <v>68</v>
      </c>
      <c r="AH10" s="15" t="s">
        <v>69</v>
      </c>
      <c r="AI10" s="15" t="s">
        <v>70</v>
      </c>
      <c r="AJ10" s="15" t="s">
        <v>71</v>
      </c>
      <c r="AK10" s="15" t="s">
        <v>72</v>
      </c>
      <c r="AL10" s="15" t="s">
        <v>73</v>
      </c>
      <c r="AM10" s="15" t="s">
        <v>74</v>
      </c>
      <c r="AN10" s="15" t="s">
        <v>75</v>
      </c>
      <c r="AO10" s="15" t="s">
        <v>76</v>
      </c>
      <c r="AP10" s="15" t="s">
        <v>77</v>
      </c>
      <c r="AQ10" s="15" t="s">
        <v>78</v>
      </c>
      <c r="AR10" s="15" t="s">
        <v>79</v>
      </c>
      <c r="AS10" s="16">
        <v>16</v>
      </c>
    </row>
    <row r="11" spans="1:47" s="17" customFormat="1" ht="14.45" customHeight="1" x14ac:dyDescent="0.25">
      <c r="A11" s="786" t="s">
        <v>431</v>
      </c>
      <c r="B11" s="787"/>
      <c r="C11" s="787"/>
      <c r="D11" s="787"/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7"/>
      <c r="AA11" s="787"/>
      <c r="AB11" s="787"/>
      <c r="AC11" s="787"/>
      <c r="AD11" s="787"/>
      <c r="AE11" s="787"/>
      <c r="AF11" s="787"/>
      <c r="AG11" s="787"/>
      <c r="AH11" s="787"/>
      <c r="AI11" s="787"/>
      <c r="AJ11" s="787"/>
      <c r="AK11" s="787"/>
      <c r="AL11" s="787"/>
      <c r="AM11" s="787"/>
      <c r="AN11" s="787"/>
      <c r="AO11" s="787"/>
      <c r="AP11" s="787"/>
      <c r="AQ11" s="787"/>
      <c r="AR11" s="787"/>
      <c r="AS11" s="788"/>
    </row>
    <row r="12" spans="1:47" s="1" customFormat="1" ht="63.75" customHeight="1" x14ac:dyDescent="0.25">
      <c r="A12" s="116" t="s">
        <v>35</v>
      </c>
      <c r="B12" s="518" t="s">
        <v>382</v>
      </c>
      <c r="C12" s="644" t="s">
        <v>81</v>
      </c>
      <c r="D12" s="200" t="s">
        <v>5</v>
      </c>
      <c r="E12" s="200" t="s">
        <v>504</v>
      </c>
      <c r="F12" s="645">
        <f>(SUM(F13:F40))/(SUM(F13:F40))*100</f>
        <v>100</v>
      </c>
      <c r="G12" s="646" t="s">
        <v>50</v>
      </c>
      <c r="H12" s="647">
        <f>SUM(H13:H40)</f>
        <v>3530104.4730999996</v>
      </c>
      <c r="I12" s="648"/>
      <c r="J12" s="648">
        <f>SUM(J13:J40)</f>
        <v>308987</v>
      </c>
      <c r="K12" s="648"/>
      <c r="L12" s="648">
        <f>X10</f>
        <v>21</v>
      </c>
      <c r="M12" s="648"/>
      <c r="N12" s="647">
        <f>SUM(N13:N39)</f>
        <v>932125.86599999992</v>
      </c>
      <c r="O12" s="647"/>
      <c r="P12" s="647">
        <f>SUM(P13:P39)</f>
        <v>621465.5</v>
      </c>
      <c r="Q12" s="647">
        <f t="shared" ref="Q12" si="0">SUM(Q13:Q39)</f>
        <v>0</v>
      </c>
      <c r="R12" s="647">
        <f>SUM(R14:R40)</f>
        <v>470552.53700000001</v>
      </c>
      <c r="S12" s="647"/>
      <c r="T12" s="647">
        <f>SUM(T14:T40)</f>
        <v>492997.55499999999</v>
      </c>
      <c r="U12" s="649">
        <v>1</v>
      </c>
      <c r="V12" s="647">
        <f>SUM(V13:V40)</f>
        <v>280868</v>
      </c>
      <c r="W12" s="650">
        <v>1</v>
      </c>
      <c r="X12" s="647">
        <f t="shared" ref="X12" si="1">SUM(X13:X40)</f>
        <v>684130.14800000004</v>
      </c>
      <c r="Y12" s="650">
        <v>1</v>
      </c>
      <c r="Z12" s="651">
        <f>SUM(Z13:Z40)</f>
        <v>930476.1</v>
      </c>
      <c r="AA12" s="651"/>
      <c r="AB12" s="651">
        <f>SUM(AB13:AB40)</f>
        <v>682349</v>
      </c>
      <c r="AC12" s="651">
        <f t="shared" ref="AC12:AD12" si="2">SUM(AC13:AC40)</f>
        <v>0</v>
      </c>
      <c r="AD12" s="651">
        <f t="shared" si="2"/>
        <v>531140</v>
      </c>
      <c r="AE12" s="645"/>
      <c r="AF12" s="647"/>
      <c r="AG12" s="652" t="e">
        <f>(U12/I12)*100</f>
        <v>#DIV/0!</v>
      </c>
      <c r="AH12" s="647">
        <f>SUM(AH13:AH40)</f>
        <v>1138.5419456441912</v>
      </c>
      <c r="AI12" s="647">
        <f t="shared" ref="AI12:AJ12" si="3">SUM(AI13:AI40)</f>
        <v>0</v>
      </c>
      <c r="AJ12" s="647">
        <f t="shared" si="3"/>
        <v>1220.0186613195385</v>
      </c>
      <c r="AK12" s="647">
        <f>SUM(AK13:AK40)</f>
        <v>0</v>
      </c>
      <c r="AL12" s="647">
        <f t="shared" ref="AL12" si="4">SUM(AL13:AL40)</f>
        <v>1370.6976933484952</v>
      </c>
      <c r="AM12" s="647">
        <f>SUM(AM13:AM40)</f>
        <v>0</v>
      </c>
      <c r="AN12" s="647">
        <f t="shared" ref="AN12" si="5">SUM(AN13:AN40)</f>
        <v>1428.3232386357499</v>
      </c>
      <c r="AO12" s="647">
        <f>SUM(AO13:AO40)</f>
        <v>0</v>
      </c>
      <c r="AP12" s="647">
        <f t="shared" ref="AP12" si="6">SUM(AP13:AP40)</f>
        <v>1354.5252739529487</v>
      </c>
      <c r="AQ12" s="647"/>
      <c r="AR12" s="647"/>
      <c r="AS12" s="653"/>
    </row>
    <row r="13" spans="1:47" s="1" customFormat="1" ht="25.5" x14ac:dyDescent="0.25">
      <c r="A13" s="528">
        <v>1</v>
      </c>
      <c r="B13" s="519"/>
      <c r="C13" s="637" t="s">
        <v>85</v>
      </c>
      <c r="D13" s="637" t="s">
        <v>387</v>
      </c>
      <c r="E13" s="638" t="s">
        <v>505</v>
      </c>
      <c r="F13" s="545">
        <v>60</v>
      </c>
      <c r="G13" s="639" t="s">
        <v>84</v>
      </c>
      <c r="H13" s="543">
        <f>80700000/1000</f>
        <v>80700</v>
      </c>
      <c r="I13" s="640">
        <v>12</v>
      </c>
      <c r="J13" s="640">
        <v>15000</v>
      </c>
      <c r="K13" s="640">
        <v>12</v>
      </c>
      <c r="L13" s="640">
        <v>5700</v>
      </c>
      <c r="M13" s="640">
        <v>12</v>
      </c>
      <c r="N13" s="641">
        <v>32400</v>
      </c>
      <c r="O13" s="640">
        <v>12</v>
      </c>
      <c r="P13" s="641">
        <v>27600</v>
      </c>
      <c r="Q13" s="641"/>
      <c r="R13" s="641"/>
      <c r="S13" s="640"/>
      <c r="T13" s="543"/>
      <c r="U13" s="640"/>
      <c r="V13" s="641">
        <v>0</v>
      </c>
      <c r="W13" s="641" t="s">
        <v>531</v>
      </c>
      <c r="X13" s="641">
        <v>5626.6480000000001</v>
      </c>
      <c r="Y13" s="550" t="s">
        <v>531</v>
      </c>
      <c r="Z13" s="548">
        <v>24797</v>
      </c>
      <c r="AA13" s="548" t="s">
        <v>531</v>
      </c>
      <c r="AB13" s="548">
        <v>20750.5</v>
      </c>
      <c r="AC13" s="548"/>
      <c r="AD13" s="548"/>
      <c r="AE13" s="641"/>
      <c r="AF13" s="642"/>
      <c r="AG13" s="550">
        <f>(U13/I13)*100</f>
        <v>0</v>
      </c>
      <c r="AH13" s="495">
        <f>(V13/J13)*100</f>
        <v>0</v>
      </c>
      <c r="AI13" s="643"/>
      <c r="AJ13" s="643">
        <f>(X13/L13)*100</f>
        <v>98.713122807017555</v>
      </c>
      <c r="AK13" s="643"/>
      <c r="AL13" s="643">
        <f>(Z13/N13)*100</f>
        <v>76.533950617283949</v>
      </c>
      <c r="AM13" s="643"/>
      <c r="AN13" s="643">
        <f>(AB13/P13)*100</f>
        <v>75.18297101449275</v>
      </c>
      <c r="AO13" s="643">
        <v>0</v>
      </c>
      <c r="AP13" s="643"/>
      <c r="AQ13" s="547"/>
      <c r="AR13" s="547"/>
      <c r="AS13" s="768"/>
    </row>
    <row r="14" spans="1:47" s="1" customFormat="1" ht="27" customHeight="1" x14ac:dyDescent="0.25">
      <c r="A14" s="528"/>
      <c r="B14" s="519"/>
      <c r="C14" s="30"/>
      <c r="D14" s="30" t="s">
        <v>388</v>
      </c>
      <c r="E14" s="31"/>
      <c r="F14" s="32"/>
      <c r="G14" s="33"/>
      <c r="H14" s="34">
        <f>55200000/1000</f>
        <v>55200</v>
      </c>
      <c r="I14" s="537"/>
      <c r="J14" s="35"/>
      <c r="K14" s="35"/>
      <c r="L14" s="35"/>
      <c r="M14" s="35"/>
      <c r="N14" s="36"/>
      <c r="O14" s="35"/>
      <c r="P14" s="36"/>
      <c r="Q14" s="36" t="s">
        <v>495</v>
      </c>
      <c r="R14" s="36">
        <v>27600</v>
      </c>
      <c r="S14" s="36" t="s">
        <v>495</v>
      </c>
      <c r="T14" s="34">
        <v>27600</v>
      </c>
      <c r="U14" s="35"/>
      <c r="V14" s="36"/>
      <c r="W14" s="37"/>
      <c r="X14" s="36">
        <v>0</v>
      </c>
      <c r="Y14" s="38"/>
      <c r="Z14" s="39"/>
      <c r="AA14" s="39"/>
      <c r="AB14" s="39"/>
      <c r="AC14" s="39" t="s">
        <v>495</v>
      </c>
      <c r="AD14" s="39">
        <v>27120</v>
      </c>
      <c r="AE14" s="36"/>
      <c r="AF14" s="40"/>
      <c r="AG14" s="38"/>
      <c r="AH14" s="635"/>
      <c r="AI14" s="41"/>
      <c r="AJ14" s="41"/>
      <c r="AK14" s="41"/>
      <c r="AL14" s="41"/>
      <c r="AM14" s="41"/>
      <c r="AN14" s="41"/>
      <c r="AO14" s="42"/>
      <c r="AP14" s="42">
        <f>AD14/R14*100</f>
        <v>98.260869565217391</v>
      </c>
      <c r="AQ14" s="43"/>
      <c r="AR14" s="43"/>
      <c r="AS14" s="768"/>
    </row>
    <row r="15" spans="1:47" s="1" customFormat="1" ht="18.75" customHeight="1" x14ac:dyDescent="0.25">
      <c r="A15" s="528">
        <v>2</v>
      </c>
      <c r="B15" s="519"/>
      <c r="C15" s="30" t="s">
        <v>87</v>
      </c>
      <c r="D15" s="30" t="s">
        <v>389</v>
      </c>
      <c r="E15" s="31" t="s">
        <v>505</v>
      </c>
      <c r="F15" s="32">
        <v>60</v>
      </c>
      <c r="G15" s="33" t="s">
        <v>84</v>
      </c>
      <c r="H15" s="34">
        <f>624770000/1000</f>
        <v>624770</v>
      </c>
      <c r="I15" s="35">
        <v>12</v>
      </c>
      <c r="J15" s="35">
        <v>73500</v>
      </c>
      <c r="K15" s="35">
        <v>12</v>
      </c>
      <c r="L15" s="35">
        <v>148850</v>
      </c>
      <c r="M15" s="35">
        <v>12</v>
      </c>
      <c r="N15" s="36">
        <v>201175</v>
      </c>
      <c r="O15" s="35">
        <v>12</v>
      </c>
      <c r="P15" s="36">
        <v>201245</v>
      </c>
      <c r="Q15" s="36"/>
      <c r="R15" s="36"/>
      <c r="S15" s="36"/>
      <c r="T15" s="34"/>
      <c r="U15" s="35" t="s">
        <v>531</v>
      </c>
      <c r="V15" s="36">
        <v>68661</v>
      </c>
      <c r="W15" s="37" t="s">
        <v>531</v>
      </c>
      <c r="X15" s="36">
        <v>144999</v>
      </c>
      <c r="Y15" s="38" t="s">
        <v>531</v>
      </c>
      <c r="Z15" s="39">
        <v>214493</v>
      </c>
      <c r="AA15" s="39" t="s">
        <v>531</v>
      </c>
      <c r="AB15" s="39">
        <v>144950</v>
      </c>
      <c r="AC15" s="39"/>
      <c r="AD15" s="39"/>
      <c r="AE15" s="36"/>
      <c r="AF15" s="40"/>
      <c r="AG15" s="38"/>
      <c r="AH15" s="634">
        <f t="shared" ref="AH15:AH37" si="7">(V15/J15)*100</f>
        <v>93.416326530612253</v>
      </c>
      <c r="AI15" s="41"/>
      <c r="AJ15" s="41">
        <f t="shared" ref="AJ15:AJ37" si="8">(X15/L15)*100</f>
        <v>97.412831709774935</v>
      </c>
      <c r="AK15" s="41"/>
      <c r="AL15" s="41">
        <f t="shared" ref="AL15:AL37" si="9">(Z15/N15)*100</f>
        <v>106.62010687212626</v>
      </c>
      <c r="AM15" s="41"/>
      <c r="AN15" s="41">
        <f t="shared" ref="AN15:AN37" si="10">(AB15/P15)*100</f>
        <v>72.026634202091984</v>
      </c>
      <c r="AO15" s="42"/>
      <c r="AP15" s="42"/>
      <c r="AQ15" s="43"/>
      <c r="AR15" s="43"/>
      <c r="AS15" s="768"/>
    </row>
    <row r="16" spans="1:47" s="1" customFormat="1" ht="18.75" customHeight="1" x14ac:dyDescent="0.25">
      <c r="A16" s="528"/>
      <c r="B16" s="519"/>
      <c r="C16" s="30"/>
      <c r="D16" s="30" t="s">
        <v>390</v>
      </c>
      <c r="E16" s="31"/>
      <c r="F16" s="32"/>
      <c r="G16" s="33"/>
      <c r="H16" s="34">
        <f>257090000/1000</f>
        <v>257090</v>
      </c>
      <c r="I16" s="35"/>
      <c r="J16" s="35"/>
      <c r="K16" s="35"/>
      <c r="L16" s="35"/>
      <c r="M16" s="35"/>
      <c r="N16" s="36"/>
      <c r="O16" s="35"/>
      <c r="P16" s="36"/>
      <c r="Q16" s="36" t="s">
        <v>496</v>
      </c>
      <c r="R16" s="36">
        <v>128545</v>
      </c>
      <c r="S16" s="36" t="s">
        <v>496</v>
      </c>
      <c r="T16" s="34">
        <v>128545</v>
      </c>
      <c r="U16" s="35"/>
      <c r="V16" s="36"/>
      <c r="W16" s="37"/>
      <c r="X16" s="36">
        <v>0</v>
      </c>
      <c r="Y16" s="38"/>
      <c r="Z16" s="39"/>
      <c r="AA16" s="39"/>
      <c r="AB16" s="39"/>
      <c r="AC16" s="39" t="s">
        <v>558</v>
      </c>
      <c r="AD16" s="39">
        <v>169925</v>
      </c>
      <c r="AE16" s="36"/>
      <c r="AF16" s="40"/>
      <c r="AG16" s="38"/>
      <c r="AH16" s="634"/>
      <c r="AI16" s="41"/>
      <c r="AJ16" s="41"/>
      <c r="AK16" s="41"/>
      <c r="AL16" s="41"/>
      <c r="AM16" s="41"/>
      <c r="AN16" s="41"/>
      <c r="AO16" s="42"/>
      <c r="AP16" s="42">
        <f t="shared" ref="AP16:AP40" si="11">AD16/R16*100</f>
        <v>132.19106149597417</v>
      </c>
      <c r="AQ16" s="43"/>
      <c r="AR16" s="43"/>
      <c r="AS16" s="768"/>
    </row>
    <row r="17" spans="1:45" s="1" customFormat="1" ht="20.25" customHeight="1" x14ac:dyDescent="0.25">
      <c r="A17" s="528">
        <v>3</v>
      </c>
      <c r="B17" s="519"/>
      <c r="C17" s="30" t="s">
        <v>391</v>
      </c>
      <c r="D17" s="30" t="s">
        <v>392</v>
      </c>
      <c r="E17" s="31" t="s">
        <v>505</v>
      </c>
      <c r="F17" s="32">
        <v>60</v>
      </c>
      <c r="G17" s="33" t="s">
        <v>84</v>
      </c>
      <c r="H17" s="34">
        <f>41632143/1000</f>
        <v>41632.142999999996</v>
      </c>
      <c r="I17" s="35">
        <v>12</v>
      </c>
      <c r="J17" s="35">
        <v>6010</v>
      </c>
      <c r="K17" s="35">
        <v>12</v>
      </c>
      <c r="L17" s="35">
        <v>9702</v>
      </c>
      <c r="M17" s="35">
        <v>12</v>
      </c>
      <c r="N17" s="36">
        <v>13322.906999999999</v>
      </c>
      <c r="O17" s="35">
        <v>12</v>
      </c>
      <c r="P17" s="36">
        <v>12597.236000000001</v>
      </c>
      <c r="Q17" s="36"/>
      <c r="R17" s="36"/>
      <c r="S17" s="36"/>
      <c r="T17" s="34"/>
      <c r="U17" s="35" t="s">
        <v>531</v>
      </c>
      <c r="V17" s="36">
        <v>3668.5</v>
      </c>
      <c r="W17" s="37" t="s">
        <v>531</v>
      </c>
      <c r="X17" s="36">
        <v>9426.5</v>
      </c>
      <c r="Y17" s="38" t="s">
        <v>531</v>
      </c>
      <c r="Z17" s="39">
        <v>14947.8</v>
      </c>
      <c r="AA17" s="39" t="s">
        <v>531</v>
      </c>
      <c r="AB17" s="39">
        <v>18271</v>
      </c>
      <c r="AC17" s="39"/>
      <c r="AD17" s="39"/>
      <c r="AE17" s="36"/>
      <c r="AF17" s="40"/>
      <c r="AG17" s="38"/>
      <c r="AH17" s="634">
        <f t="shared" si="7"/>
        <v>61.039933444259567</v>
      </c>
      <c r="AI17" s="41"/>
      <c r="AJ17" s="41">
        <f t="shared" si="8"/>
        <v>97.160379303236439</v>
      </c>
      <c r="AK17" s="41"/>
      <c r="AL17" s="41">
        <f t="shared" si="9"/>
        <v>112.1962346505909</v>
      </c>
      <c r="AM17" s="41"/>
      <c r="AN17" s="41">
        <f t="shared" si="10"/>
        <v>145.03975316490062</v>
      </c>
      <c r="AO17" s="42"/>
      <c r="AP17" s="42"/>
      <c r="AQ17" s="43"/>
      <c r="AR17" s="43"/>
      <c r="AS17" s="768"/>
    </row>
    <row r="18" spans="1:45" s="1" customFormat="1" ht="20.25" customHeight="1" x14ac:dyDescent="0.25">
      <c r="A18" s="528"/>
      <c r="B18" s="519"/>
      <c r="C18" s="30"/>
      <c r="D18" s="30" t="s">
        <v>393</v>
      </c>
      <c r="E18" s="31"/>
      <c r="F18" s="32"/>
      <c r="G18" s="33"/>
      <c r="H18" s="34">
        <f>25194472/1000</f>
        <v>25194.472000000002</v>
      </c>
      <c r="I18" s="35"/>
      <c r="J18" s="35"/>
      <c r="K18" s="35"/>
      <c r="L18" s="35"/>
      <c r="M18" s="35"/>
      <c r="N18" s="36"/>
      <c r="O18" s="35"/>
      <c r="P18" s="36"/>
      <c r="Q18" s="36" t="s">
        <v>497</v>
      </c>
      <c r="R18" s="36">
        <v>12597.236000000001</v>
      </c>
      <c r="S18" s="36" t="s">
        <v>497</v>
      </c>
      <c r="T18" s="34">
        <v>12597.236000000001</v>
      </c>
      <c r="U18" s="35"/>
      <c r="V18" s="36"/>
      <c r="W18" s="37"/>
      <c r="X18" s="36">
        <v>0</v>
      </c>
      <c r="Y18" s="38"/>
      <c r="Z18" s="39"/>
      <c r="AA18" s="39"/>
      <c r="AB18" s="39"/>
      <c r="AC18" s="39" t="s">
        <v>497</v>
      </c>
      <c r="AD18" s="39">
        <v>12597</v>
      </c>
      <c r="AE18" s="36"/>
      <c r="AF18" s="40"/>
      <c r="AG18" s="38"/>
      <c r="AH18" s="634"/>
      <c r="AI18" s="41"/>
      <c r="AJ18" s="41"/>
      <c r="AK18" s="41"/>
      <c r="AL18" s="41"/>
      <c r="AM18" s="41"/>
      <c r="AN18" s="41"/>
      <c r="AO18" s="42"/>
      <c r="AP18" s="42">
        <f t="shared" si="11"/>
        <v>99.998126573162551</v>
      </c>
      <c r="AQ18" s="43"/>
      <c r="AR18" s="43"/>
      <c r="AS18" s="768"/>
    </row>
    <row r="19" spans="1:45" s="1" customFormat="1" ht="20.25" customHeight="1" x14ac:dyDescent="0.25">
      <c r="A19" s="528">
        <v>4</v>
      </c>
      <c r="B19" s="519"/>
      <c r="C19" s="30" t="s">
        <v>394</v>
      </c>
      <c r="D19" s="30" t="s">
        <v>395</v>
      </c>
      <c r="E19" s="31" t="s">
        <v>506</v>
      </c>
      <c r="F19" s="32">
        <v>120</v>
      </c>
      <c r="G19" s="33" t="s">
        <v>135</v>
      </c>
      <c r="H19" s="34">
        <f>50150000/1000</f>
        <v>50150</v>
      </c>
      <c r="I19" s="35">
        <v>15</v>
      </c>
      <c r="J19" s="35">
        <v>13600</v>
      </c>
      <c r="K19" s="35">
        <v>15</v>
      </c>
      <c r="L19" s="35">
        <v>16400</v>
      </c>
      <c r="M19" s="35">
        <v>30</v>
      </c>
      <c r="N19" s="36">
        <v>9650</v>
      </c>
      <c r="O19" s="35">
        <v>30</v>
      </c>
      <c r="P19" s="36">
        <v>10500</v>
      </c>
      <c r="Q19" s="36"/>
      <c r="R19" s="36"/>
      <c r="S19" s="36"/>
      <c r="T19" s="34"/>
      <c r="U19" s="35" t="s">
        <v>534</v>
      </c>
      <c r="V19" s="36">
        <v>13535</v>
      </c>
      <c r="W19" s="37" t="s">
        <v>534</v>
      </c>
      <c r="X19" s="36">
        <v>16400</v>
      </c>
      <c r="Y19" s="38" t="s">
        <v>498</v>
      </c>
      <c r="Z19" s="39">
        <v>16560</v>
      </c>
      <c r="AA19" s="39" t="s">
        <v>531</v>
      </c>
      <c r="AB19" s="39">
        <v>14628</v>
      </c>
      <c r="AC19" s="39"/>
      <c r="AD19" s="39"/>
      <c r="AE19" s="36"/>
      <c r="AF19" s="40"/>
      <c r="AG19" s="38"/>
      <c r="AH19" s="634">
        <f t="shared" si="7"/>
        <v>99.52205882352942</v>
      </c>
      <c r="AI19" s="41"/>
      <c r="AJ19" s="41">
        <f t="shared" si="8"/>
        <v>100</v>
      </c>
      <c r="AK19" s="41"/>
      <c r="AL19" s="41">
        <f t="shared" si="9"/>
        <v>171.6062176165803</v>
      </c>
      <c r="AM19" s="41"/>
      <c r="AN19" s="41">
        <f t="shared" si="10"/>
        <v>139.31428571428572</v>
      </c>
      <c r="AO19" s="42"/>
      <c r="AP19" s="42"/>
      <c r="AQ19" s="43"/>
      <c r="AR19" s="43"/>
      <c r="AS19" s="768"/>
    </row>
    <row r="20" spans="1:45" s="1" customFormat="1" ht="20.25" customHeight="1" x14ac:dyDescent="0.25">
      <c r="A20" s="528"/>
      <c r="B20" s="519"/>
      <c r="C20" s="30"/>
      <c r="D20" s="30" t="s">
        <v>396</v>
      </c>
      <c r="E20" s="31"/>
      <c r="F20" s="32"/>
      <c r="G20" s="33"/>
      <c r="H20" s="34">
        <f>21000000/1000</f>
        <v>21000</v>
      </c>
      <c r="I20" s="35"/>
      <c r="J20" s="35"/>
      <c r="K20" s="35"/>
      <c r="L20" s="35"/>
      <c r="M20" s="35"/>
      <c r="N20" s="36"/>
      <c r="O20" s="35"/>
      <c r="P20" s="36"/>
      <c r="Q20" s="36" t="s">
        <v>498</v>
      </c>
      <c r="R20" s="36">
        <v>10500</v>
      </c>
      <c r="S20" s="36" t="s">
        <v>498</v>
      </c>
      <c r="T20" s="34">
        <v>10500</v>
      </c>
      <c r="U20" s="35"/>
      <c r="V20" s="36"/>
      <c r="W20" s="37"/>
      <c r="X20" s="36"/>
      <c r="Y20" s="38"/>
      <c r="Z20" s="39"/>
      <c r="AA20" s="39"/>
      <c r="AB20" s="39"/>
      <c r="AC20" s="39" t="s">
        <v>498</v>
      </c>
      <c r="AD20" s="39">
        <v>20500</v>
      </c>
      <c r="AE20" s="36"/>
      <c r="AF20" s="40"/>
      <c r="AG20" s="38"/>
      <c r="AH20" s="634"/>
      <c r="AI20" s="41"/>
      <c r="AJ20" s="41"/>
      <c r="AK20" s="41"/>
      <c r="AL20" s="41"/>
      <c r="AM20" s="41"/>
      <c r="AN20" s="41"/>
      <c r="AO20" s="42"/>
      <c r="AP20" s="42">
        <f t="shared" si="11"/>
        <v>195.23809523809524</v>
      </c>
      <c r="AQ20" s="43"/>
      <c r="AR20" s="43"/>
      <c r="AS20" s="768"/>
    </row>
    <row r="21" spans="1:45" s="1" customFormat="1" ht="21" customHeight="1" x14ac:dyDescent="0.25">
      <c r="A21" s="528">
        <v>5</v>
      </c>
      <c r="B21" s="519"/>
      <c r="C21" s="30" t="s">
        <v>93</v>
      </c>
      <c r="D21" s="45" t="s">
        <v>94</v>
      </c>
      <c r="E21" s="45" t="s">
        <v>505</v>
      </c>
      <c r="F21" s="32">
        <v>60</v>
      </c>
      <c r="G21" s="33" t="s">
        <v>84</v>
      </c>
      <c r="H21" s="34">
        <f>169102836/1000</f>
        <v>169102.83600000001</v>
      </c>
      <c r="I21" s="35">
        <v>12</v>
      </c>
      <c r="J21" s="35">
        <v>24789</v>
      </c>
      <c r="K21" s="35">
        <v>12</v>
      </c>
      <c r="L21" s="35">
        <v>42375</v>
      </c>
      <c r="M21" s="35">
        <v>12</v>
      </c>
      <c r="N21" s="36">
        <v>61506.459000000003</v>
      </c>
      <c r="O21" s="35">
        <v>12</v>
      </c>
      <c r="P21" s="36">
        <v>40430.347000000002</v>
      </c>
      <c r="Q21" s="36"/>
      <c r="R21" s="36"/>
      <c r="S21" s="36"/>
      <c r="T21" s="34"/>
      <c r="U21" s="35" t="s">
        <v>531</v>
      </c>
      <c r="V21" s="36">
        <v>24685</v>
      </c>
      <c r="W21" s="37" t="s">
        <v>531</v>
      </c>
      <c r="X21" s="36">
        <v>42109.5</v>
      </c>
      <c r="Y21" s="38" t="s">
        <v>531</v>
      </c>
      <c r="Z21" s="39">
        <v>61342</v>
      </c>
      <c r="AA21" s="39" t="s">
        <v>531</v>
      </c>
      <c r="AB21" s="39">
        <v>49564</v>
      </c>
      <c r="AC21" s="39"/>
      <c r="AD21" s="39"/>
      <c r="AE21" s="36"/>
      <c r="AF21" s="40"/>
      <c r="AG21" s="38"/>
      <c r="AH21" s="634">
        <f t="shared" si="7"/>
        <v>99.580459074589527</v>
      </c>
      <c r="AI21" s="41"/>
      <c r="AJ21" s="41">
        <f t="shared" si="8"/>
        <v>99.373451327433628</v>
      </c>
      <c r="AK21" s="41"/>
      <c r="AL21" s="41">
        <f t="shared" si="9"/>
        <v>99.732615073808745</v>
      </c>
      <c r="AM21" s="41"/>
      <c r="AN21" s="41">
        <f t="shared" si="10"/>
        <v>122.59108238670322</v>
      </c>
      <c r="AO21" s="42"/>
      <c r="AP21" s="42"/>
      <c r="AQ21" s="43"/>
      <c r="AR21" s="43"/>
      <c r="AS21" s="768"/>
    </row>
    <row r="22" spans="1:45" s="1" customFormat="1" ht="16.5" customHeight="1" x14ac:dyDescent="0.25">
      <c r="A22" s="528"/>
      <c r="B22" s="519"/>
      <c r="C22" s="30"/>
      <c r="D22" s="45" t="s">
        <v>397</v>
      </c>
      <c r="E22" s="45"/>
      <c r="F22" s="32"/>
      <c r="G22" s="33"/>
      <c r="H22" s="34">
        <f>80860694/1000</f>
        <v>80860.694000000003</v>
      </c>
      <c r="I22" s="35"/>
      <c r="J22" s="35"/>
      <c r="K22" s="35"/>
      <c r="L22" s="35"/>
      <c r="M22" s="35"/>
      <c r="N22" s="36"/>
      <c r="O22" s="35"/>
      <c r="P22" s="36"/>
      <c r="Q22" s="36" t="s">
        <v>496</v>
      </c>
      <c r="R22" s="36">
        <v>40430.347000000002</v>
      </c>
      <c r="S22" s="36" t="s">
        <v>496</v>
      </c>
      <c r="T22" s="34">
        <v>40430.347000000002</v>
      </c>
      <c r="U22" s="35"/>
      <c r="V22" s="36"/>
      <c r="W22" s="37"/>
      <c r="X22" s="36"/>
      <c r="Y22" s="38"/>
      <c r="Z22" s="39"/>
      <c r="AA22" s="39"/>
      <c r="AB22" s="39"/>
      <c r="AC22" s="39" t="s">
        <v>558</v>
      </c>
      <c r="AD22" s="39">
        <v>41006.5</v>
      </c>
      <c r="AE22" s="36"/>
      <c r="AF22" s="40"/>
      <c r="AG22" s="38"/>
      <c r="AH22" s="634"/>
      <c r="AI22" s="41"/>
      <c r="AJ22" s="41"/>
      <c r="AK22" s="41"/>
      <c r="AL22" s="41"/>
      <c r="AM22" s="41"/>
      <c r="AN22" s="41"/>
      <c r="AO22" s="42"/>
      <c r="AP22" s="42">
        <f t="shared" si="11"/>
        <v>101.42505084114168</v>
      </c>
      <c r="AQ22" s="43"/>
      <c r="AR22" s="43"/>
      <c r="AS22" s="768"/>
    </row>
    <row r="23" spans="1:45" s="1" customFormat="1" ht="25.5" x14ac:dyDescent="0.25">
      <c r="A23" s="528">
        <v>6</v>
      </c>
      <c r="B23" s="519"/>
      <c r="C23" s="30" t="s">
        <v>95</v>
      </c>
      <c r="D23" s="31" t="s">
        <v>96</v>
      </c>
      <c r="E23" s="31" t="s">
        <v>505</v>
      </c>
      <c r="F23" s="32">
        <v>60</v>
      </c>
      <c r="G23" s="33" t="s">
        <v>84</v>
      </c>
      <c r="H23" s="34">
        <f>175438916/1000</f>
        <v>175438.916</v>
      </c>
      <c r="I23" s="35">
        <v>12</v>
      </c>
      <c r="J23" s="35">
        <v>36468</v>
      </c>
      <c r="K23" s="35">
        <v>12</v>
      </c>
      <c r="L23" s="35">
        <v>60925</v>
      </c>
      <c r="M23" s="35">
        <v>12</v>
      </c>
      <c r="N23" s="36">
        <v>41545.915999999997</v>
      </c>
      <c r="O23" s="35">
        <v>12</v>
      </c>
      <c r="P23" s="36">
        <v>36500</v>
      </c>
      <c r="Q23" s="36"/>
      <c r="R23" s="36"/>
      <c r="S23" s="36"/>
      <c r="T23" s="34"/>
      <c r="U23" s="35" t="s">
        <v>531</v>
      </c>
      <c r="V23" s="36">
        <v>32143</v>
      </c>
      <c r="W23" s="37" t="s">
        <v>531</v>
      </c>
      <c r="X23" s="36">
        <v>60821.5</v>
      </c>
      <c r="Y23" s="38" t="s">
        <v>531</v>
      </c>
      <c r="Z23" s="39">
        <v>64751</v>
      </c>
      <c r="AA23" s="39" t="s">
        <v>531</v>
      </c>
      <c r="AB23" s="39">
        <v>52317.5</v>
      </c>
      <c r="AC23" s="39"/>
      <c r="AD23" s="39"/>
      <c r="AE23" s="36"/>
      <c r="AF23" s="40"/>
      <c r="AG23" s="38"/>
      <c r="AH23" s="634">
        <f t="shared" si="7"/>
        <v>88.140287375233086</v>
      </c>
      <c r="AI23" s="41"/>
      <c r="AJ23" s="41">
        <f t="shared" si="8"/>
        <v>99.830118998768981</v>
      </c>
      <c r="AK23" s="41"/>
      <c r="AL23" s="41">
        <f t="shared" si="9"/>
        <v>155.85406758151632</v>
      </c>
      <c r="AM23" s="41"/>
      <c r="AN23" s="41">
        <f t="shared" si="10"/>
        <v>143.33561643835617</v>
      </c>
      <c r="AO23" s="42"/>
      <c r="AP23" s="42"/>
      <c r="AQ23" s="43"/>
      <c r="AR23" s="43"/>
      <c r="AS23" s="768"/>
    </row>
    <row r="24" spans="1:45" s="1" customFormat="1" ht="24" customHeight="1" x14ac:dyDescent="0.25">
      <c r="A24" s="528"/>
      <c r="B24" s="519"/>
      <c r="C24" s="30"/>
      <c r="D24" s="654" t="s">
        <v>434</v>
      </c>
      <c r="E24" s="31"/>
      <c r="F24" s="32"/>
      <c r="G24" s="33"/>
      <c r="H24" s="34">
        <f>73000000/1000</f>
        <v>73000</v>
      </c>
      <c r="I24" s="35"/>
      <c r="J24" s="35"/>
      <c r="K24" s="35"/>
      <c r="L24" s="35"/>
      <c r="M24" s="35"/>
      <c r="N24" s="36"/>
      <c r="O24" s="35"/>
      <c r="P24" s="36"/>
      <c r="Q24" s="36" t="s">
        <v>499</v>
      </c>
      <c r="R24" s="36">
        <v>36500</v>
      </c>
      <c r="S24" s="36" t="s">
        <v>499</v>
      </c>
      <c r="T24" s="34">
        <v>36500</v>
      </c>
      <c r="U24" s="35"/>
      <c r="V24" s="36"/>
      <c r="W24" s="37"/>
      <c r="X24" s="36"/>
      <c r="Y24" s="38"/>
      <c r="Z24" s="39"/>
      <c r="AA24" s="39"/>
      <c r="AB24" s="39"/>
      <c r="AC24" s="39" t="s">
        <v>499</v>
      </c>
      <c r="AD24" s="39">
        <v>34150</v>
      </c>
      <c r="AE24" s="36"/>
      <c r="AF24" s="40"/>
      <c r="AG24" s="38"/>
      <c r="AH24" s="634"/>
      <c r="AI24" s="41"/>
      <c r="AJ24" s="41"/>
      <c r="AK24" s="41"/>
      <c r="AL24" s="41"/>
      <c r="AM24" s="41"/>
      <c r="AN24" s="41"/>
      <c r="AO24" s="42"/>
      <c r="AP24" s="42">
        <f t="shared" si="11"/>
        <v>93.561643835616437</v>
      </c>
      <c r="AQ24" s="43"/>
      <c r="AR24" s="43"/>
      <c r="AS24" s="768"/>
    </row>
    <row r="25" spans="1:45" s="1" customFormat="1" ht="25.5" x14ac:dyDescent="0.25">
      <c r="A25" s="528">
        <v>7</v>
      </c>
      <c r="B25" s="519"/>
      <c r="C25" s="30" t="s">
        <v>97</v>
      </c>
      <c r="D25" s="45" t="s">
        <v>98</v>
      </c>
      <c r="E25" s="45" t="s">
        <v>505</v>
      </c>
      <c r="F25" s="32">
        <v>60</v>
      </c>
      <c r="G25" s="33" t="s">
        <v>84</v>
      </c>
      <c r="H25" s="34">
        <f>10887084/1000</f>
        <v>10887.084000000001</v>
      </c>
      <c r="I25" s="35">
        <v>12</v>
      </c>
      <c r="J25" s="35">
        <v>2500</v>
      </c>
      <c r="K25" s="35">
        <v>12</v>
      </c>
      <c r="L25" s="35">
        <v>1500</v>
      </c>
      <c r="M25" s="35">
        <v>12</v>
      </c>
      <c r="N25" s="36">
        <v>3477.5839999999998</v>
      </c>
      <c r="O25" s="35">
        <v>12</v>
      </c>
      <c r="P25" s="36">
        <v>3409.5</v>
      </c>
      <c r="Q25" s="36"/>
      <c r="R25" s="36"/>
      <c r="S25" s="36"/>
      <c r="T25" s="34"/>
      <c r="U25" s="35" t="s">
        <v>531</v>
      </c>
      <c r="V25" s="36">
        <v>2500</v>
      </c>
      <c r="W25" s="37" t="s">
        <v>531</v>
      </c>
      <c r="X25" s="36">
        <v>1500</v>
      </c>
      <c r="Y25" s="38" t="s">
        <v>531</v>
      </c>
      <c r="Z25" s="39">
        <v>4190.8</v>
      </c>
      <c r="AA25" s="39" t="s">
        <v>531</v>
      </c>
      <c r="AB25" s="39">
        <v>4733</v>
      </c>
      <c r="AC25" s="39"/>
      <c r="AD25" s="39"/>
      <c r="AE25" s="36"/>
      <c r="AF25" s="40"/>
      <c r="AG25" s="38"/>
      <c r="AH25" s="634">
        <f t="shared" si="7"/>
        <v>100</v>
      </c>
      <c r="AI25" s="41"/>
      <c r="AJ25" s="41">
        <f t="shared" si="8"/>
        <v>100</v>
      </c>
      <c r="AK25" s="41"/>
      <c r="AL25" s="41">
        <f t="shared" si="9"/>
        <v>120.50895104187276</v>
      </c>
      <c r="AM25" s="41"/>
      <c r="AN25" s="41">
        <f t="shared" si="10"/>
        <v>138.81800850564599</v>
      </c>
      <c r="AO25" s="42"/>
      <c r="AP25" s="42"/>
      <c r="AQ25" s="43"/>
      <c r="AR25" s="43"/>
      <c r="AS25" s="768"/>
    </row>
    <row r="26" spans="1:45" s="1" customFormat="1" ht="25.5" x14ac:dyDescent="0.25">
      <c r="A26" s="528"/>
      <c r="B26" s="519"/>
      <c r="C26" s="30"/>
      <c r="D26" s="654" t="s">
        <v>435</v>
      </c>
      <c r="E26" s="45"/>
      <c r="F26" s="32"/>
      <c r="G26" s="33"/>
      <c r="H26" s="34">
        <f>6819000/1000</f>
        <v>6819</v>
      </c>
      <c r="I26" s="35"/>
      <c r="J26" s="35"/>
      <c r="K26" s="35"/>
      <c r="L26" s="35"/>
      <c r="M26" s="35"/>
      <c r="N26" s="36"/>
      <c r="O26" s="35"/>
      <c r="P26" s="36"/>
      <c r="Q26" s="36" t="s">
        <v>500</v>
      </c>
      <c r="R26" s="36">
        <v>3409.5</v>
      </c>
      <c r="S26" s="36" t="s">
        <v>500</v>
      </c>
      <c r="T26" s="34">
        <v>3409.5</v>
      </c>
      <c r="U26" s="35"/>
      <c r="V26" s="36"/>
      <c r="W26" s="37"/>
      <c r="X26" s="36"/>
      <c r="Y26" s="38"/>
      <c r="Z26" s="39"/>
      <c r="AA26" s="39"/>
      <c r="AB26" s="39"/>
      <c r="AC26" s="39" t="s">
        <v>500</v>
      </c>
      <c r="AD26" s="39">
        <v>3409.5</v>
      </c>
      <c r="AE26" s="36"/>
      <c r="AF26" s="40"/>
      <c r="AG26" s="38"/>
      <c r="AH26" s="634"/>
      <c r="AI26" s="41"/>
      <c r="AJ26" s="41"/>
      <c r="AK26" s="41"/>
      <c r="AL26" s="41"/>
      <c r="AM26" s="41"/>
      <c r="AN26" s="41"/>
      <c r="AO26" s="42"/>
      <c r="AP26" s="42">
        <f t="shared" si="11"/>
        <v>100</v>
      </c>
      <c r="AQ26" s="43"/>
      <c r="AR26" s="43"/>
      <c r="AS26" s="768"/>
    </row>
    <row r="27" spans="1:45" s="1" customFormat="1" ht="25.5" x14ac:dyDescent="0.25">
      <c r="A27" s="528">
        <v>8</v>
      </c>
      <c r="B27" s="519"/>
      <c r="C27" s="30" t="s">
        <v>99</v>
      </c>
      <c r="D27" s="31" t="s">
        <v>100</v>
      </c>
      <c r="E27" s="31" t="s">
        <v>505</v>
      </c>
      <c r="F27" s="32">
        <v>20</v>
      </c>
      <c r="G27" s="33" t="s">
        <v>101</v>
      </c>
      <c r="H27" s="34">
        <f>188543000/1000</f>
        <v>188543</v>
      </c>
      <c r="I27" s="35">
        <v>12</v>
      </c>
      <c r="J27" s="35">
        <v>13470</v>
      </c>
      <c r="K27" s="35">
        <v>12</v>
      </c>
      <c r="L27" s="35">
        <v>91500</v>
      </c>
      <c r="M27" s="35">
        <v>12</v>
      </c>
      <c r="N27" s="36">
        <v>83573</v>
      </c>
      <c r="O27" s="35">
        <v>12</v>
      </c>
      <c r="P27" s="36">
        <v>0</v>
      </c>
      <c r="Q27" s="36"/>
      <c r="R27" s="36"/>
      <c r="S27" s="36"/>
      <c r="T27" s="34"/>
      <c r="U27" s="35" t="s">
        <v>531</v>
      </c>
      <c r="V27" s="36">
        <v>13470</v>
      </c>
      <c r="W27" s="37" t="s">
        <v>531</v>
      </c>
      <c r="X27" s="36">
        <v>86375</v>
      </c>
      <c r="Y27" s="38" t="s">
        <v>531</v>
      </c>
      <c r="Z27" s="39">
        <v>91105.5</v>
      </c>
      <c r="AA27" s="39" t="s">
        <v>531</v>
      </c>
      <c r="AB27" s="39">
        <v>4950</v>
      </c>
      <c r="AC27" s="39"/>
      <c r="AD27" s="39"/>
      <c r="AE27" s="36"/>
      <c r="AF27" s="40"/>
      <c r="AG27" s="38"/>
      <c r="AH27" s="634">
        <f t="shared" si="7"/>
        <v>100</v>
      </c>
      <c r="AI27" s="41"/>
      <c r="AJ27" s="41">
        <f t="shared" si="8"/>
        <v>94.398907103825138</v>
      </c>
      <c r="AK27" s="41"/>
      <c r="AL27" s="41">
        <f t="shared" si="9"/>
        <v>109.01307838656025</v>
      </c>
      <c r="AM27" s="41"/>
      <c r="AN27" s="41"/>
      <c r="AO27" s="42"/>
      <c r="AP27" s="42"/>
      <c r="AQ27" s="43"/>
      <c r="AR27" s="43"/>
      <c r="AS27" s="768"/>
    </row>
    <row r="28" spans="1:45" s="1" customFormat="1" ht="22.5" customHeight="1" x14ac:dyDescent="0.25">
      <c r="A28" s="528"/>
      <c r="B28" s="519"/>
      <c r="C28" s="30"/>
      <c r="D28" s="654" t="s">
        <v>436</v>
      </c>
      <c r="E28" s="31"/>
      <c r="F28" s="32"/>
      <c r="G28" s="33"/>
      <c r="H28" s="34">
        <f>0</f>
        <v>0</v>
      </c>
      <c r="I28" s="35"/>
      <c r="J28" s="35"/>
      <c r="K28" s="35"/>
      <c r="L28" s="35"/>
      <c r="M28" s="35"/>
      <c r="N28" s="36"/>
      <c r="O28" s="35"/>
      <c r="P28" s="36"/>
      <c r="Q28" s="36" t="s">
        <v>501</v>
      </c>
      <c r="R28" s="36">
        <v>0</v>
      </c>
      <c r="S28" s="36" t="s">
        <v>501</v>
      </c>
      <c r="T28" s="34">
        <v>0</v>
      </c>
      <c r="U28" s="35"/>
      <c r="V28" s="36"/>
      <c r="W28" s="37"/>
      <c r="X28" s="36"/>
      <c r="Y28" s="38"/>
      <c r="Z28" s="39"/>
      <c r="AA28" s="39"/>
      <c r="AB28" s="39"/>
      <c r="AC28" s="39" t="s">
        <v>501</v>
      </c>
      <c r="AD28" s="39">
        <v>6000</v>
      </c>
      <c r="AE28" s="36"/>
      <c r="AF28" s="40"/>
      <c r="AG28" s="38"/>
      <c r="AH28" s="495"/>
      <c r="AI28" s="41"/>
      <c r="AJ28" s="41"/>
      <c r="AK28" s="41"/>
      <c r="AL28" s="41"/>
      <c r="AM28" s="41"/>
      <c r="AN28" s="41"/>
      <c r="AO28" s="42"/>
      <c r="AP28" s="42">
        <v>0</v>
      </c>
      <c r="AQ28" s="43"/>
      <c r="AR28" s="43"/>
      <c r="AS28" s="768"/>
    </row>
    <row r="29" spans="1:45" s="1" customFormat="1" ht="25.5" x14ac:dyDescent="0.25">
      <c r="A29" s="528">
        <v>9</v>
      </c>
      <c r="B29" s="519"/>
      <c r="C29" s="30" t="s">
        <v>102</v>
      </c>
      <c r="D29" s="654" t="s">
        <v>437</v>
      </c>
      <c r="E29" s="31" t="s">
        <v>505</v>
      </c>
      <c r="F29" s="32">
        <v>60</v>
      </c>
      <c r="G29" s="33" t="s">
        <v>84</v>
      </c>
      <c r="H29" s="34">
        <f>40000000/1000</f>
        <v>40000</v>
      </c>
      <c r="I29" s="35">
        <v>12</v>
      </c>
      <c r="J29" s="35">
        <v>5000</v>
      </c>
      <c r="K29" s="35">
        <v>12</v>
      </c>
      <c r="L29" s="35">
        <v>15000</v>
      </c>
      <c r="M29" s="35">
        <v>12</v>
      </c>
      <c r="N29" s="36">
        <v>15000</v>
      </c>
      <c r="O29" s="35">
        <v>12</v>
      </c>
      <c r="P29" s="36">
        <v>5000</v>
      </c>
      <c r="Q29" s="36"/>
      <c r="R29" s="36"/>
      <c r="S29" s="36"/>
      <c r="T29" s="34"/>
      <c r="U29" s="35" t="s">
        <v>531</v>
      </c>
      <c r="V29" s="36">
        <v>5000</v>
      </c>
      <c r="W29" s="37" t="s">
        <v>531</v>
      </c>
      <c r="X29" s="36">
        <v>5000</v>
      </c>
      <c r="Y29" s="38" t="s">
        <v>531</v>
      </c>
      <c r="Z29" s="39">
        <v>9950</v>
      </c>
      <c r="AA29" s="39" t="s">
        <v>531</v>
      </c>
      <c r="AB29" s="39">
        <v>5000</v>
      </c>
      <c r="AC29" s="39"/>
      <c r="AD29" s="39"/>
      <c r="AE29" s="36"/>
      <c r="AF29" s="40"/>
      <c r="AG29" s="38"/>
      <c r="AH29" s="634">
        <f t="shared" si="7"/>
        <v>100</v>
      </c>
      <c r="AI29" s="41"/>
      <c r="AJ29" s="41">
        <f t="shared" si="8"/>
        <v>33.333333333333329</v>
      </c>
      <c r="AK29" s="41"/>
      <c r="AL29" s="41">
        <f t="shared" si="9"/>
        <v>66.333333333333329</v>
      </c>
      <c r="AM29" s="41"/>
      <c r="AN29" s="41">
        <f t="shared" si="10"/>
        <v>100</v>
      </c>
      <c r="AO29" s="42"/>
      <c r="AP29" s="42"/>
      <c r="AQ29" s="43"/>
      <c r="AR29" s="43"/>
      <c r="AS29" s="768"/>
    </row>
    <row r="30" spans="1:45" s="1" customFormat="1" ht="22.5" customHeight="1" x14ac:dyDescent="0.25">
      <c r="A30" s="528"/>
      <c r="B30" s="519"/>
      <c r="C30" s="30"/>
      <c r="D30" s="654" t="s">
        <v>405</v>
      </c>
      <c r="E30" s="31"/>
      <c r="F30" s="32"/>
      <c r="G30" s="33"/>
      <c r="H30" s="34">
        <f>10000000/1000</f>
        <v>10000</v>
      </c>
      <c r="I30" s="35"/>
      <c r="J30" s="35"/>
      <c r="K30" s="35"/>
      <c r="L30" s="35"/>
      <c r="M30" s="35"/>
      <c r="N30" s="36"/>
      <c r="O30" s="35"/>
      <c r="P30" s="36"/>
      <c r="Q30" s="36" t="s">
        <v>495</v>
      </c>
      <c r="R30" s="36">
        <v>5000</v>
      </c>
      <c r="S30" s="36" t="s">
        <v>495</v>
      </c>
      <c r="T30" s="34">
        <v>5000</v>
      </c>
      <c r="U30" s="35"/>
      <c r="V30" s="36"/>
      <c r="W30" s="37"/>
      <c r="X30" s="36"/>
      <c r="Y30" s="38"/>
      <c r="Z30" s="39"/>
      <c r="AA30" s="39"/>
      <c r="AB30" s="39"/>
      <c r="AC30" s="39" t="s">
        <v>495</v>
      </c>
      <c r="AD30" s="39">
        <v>5000</v>
      </c>
      <c r="AE30" s="36"/>
      <c r="AF30" s="40"/>
      <c r="AG30" s="38"/>
      <c r="AH30" s="634"/>
      <c r="AI30" s="41"/>
      <c r="AJ30" s="41"/>
      <c r="AK30" s="41"/>
      <c r="AL30" s="41"/>
      <c r="AM30" s="41"/>
      <c r="AN30" s="41"/>
      <c r="AO30" s="42"/>
      <c r="AP30" s="42">
        <f t="shared" si="11"/>
        <v>100</v>
      </c>
      <c r="AQ30" s="43"/>
      <c r="AR30" s="43"/>
      <c r="AS30" s="768"/>
    </row>
    <row r="31" spans="1:45" s="1" customFormat="1" ht="20.25" customHeight="1" x14ac:dyDescent="0.25">
      <c r="A31" s="528">
        <v>10</v>
      </c>
      <c r="B31" s="519"/>
      <c r="C31" s="30" t="s">
        <v>104</v>
      </c>
      <c r="D31" s="654" t="s">
        <v>438</v>
      </c>
      <c r="E31" s="31" t="s">
        <v>505</v>
      </c>
      <c r="F31" s="32">
        <v>60</v>
      </c>
      <c r="G31" s="33" t="s">
        <v>84</v>
      </c>
      <c r="H31" s="34">
        <f>85500000/1000</f>
        <v>85500</v>
      </c>
      <c r="I31" s="35">
        <v>12</v>
      </c>
      <c r="J31" s="35">
        <v>10500</v>
      </c>
      <c r="K31" s="35">
        <v>12</v>
      </c>
      <c r="L31" s="35">
        <v>22500</v>
      </c>
      <c r="M31" s="35">
        <v>12</v>
      </c>
      <c r="N31" s="36">
        <v>26250</v>
      </c>
      <c r="O31" s="35">
        <v>12</v>
      </c>
      <c r="P31" s="36">
        <v>26250</v>
      </c>
      <c r="Q31" s="36"/>
      <c r="R31" s="36"/>
      <c r="S31" s="36"/>
      <c r="T31" s="34"/>
      <c r="U31" s="35" t="s">
        <v>531</v>
      </c>
      <c r="V31" s="36">
        <v>10497.5</v>
      </c>
      <c r="W31" s="37" t="s">
        <v>531</v>
      </c>
      <c r="X31" s="36">
        <v>22475</v>
      </c>
      <c r="Y31" s="38" t="s">
        <v>531</v>
      </c>
      <c r="Z31" s="39">
        <v>28750</v>
      </c>
      <c r="AA31" s="39" t="s">
        <v>531</v>
      </c>
      <c r="AB31" s="39">
        <v>27830</v>
      </c>
      <c r="AC31" s="39"/>
      <c r="AD31" s="39"/>
      <c r="AE31" s="36"/>
      <c r="AF31" s="40"/>
      <c r="AG31" s="38"/>
      <c r="AH31" s="634">
        <f t="shared" si="7"/>
        <v>99.976190476190467</v>
      </c>
      <c r="AI31" s="41"/>
      <c r="AJ31" s="41">
        <f t="shared" si="8"/>
        <v>99.8888888888889</v>
      </c>
      <c r="AK31" s="41"/>
      <c r="AL31" s="41">
        <f t="shared" si="9"/>
        <v>109.52380952380953</v>
      </c>
      <c r="AM31" s="41"/>
      <c r="AN31" s="41">
        <f t="shared" si="10"/>
        <v>106.01904761904761</v>
      </c>
      <c r="AO31" s="42"/>
      <c r="AP31" s="42"/>
      <c r="AQ31" s="43"/>
      <c r="AR31" s="43"/>
      <c r="AS31" s="768"/>
    </row>
    <row r="32" spans="1:45" s="1" customFormat="1" ht="21.75" customHeight="1" x14ac:dyDescent="0.25">
      <c r="A32" s="528"/>
      <c r="B32" s="519"/>
      <c r="C32" s="655"/>
      <c r="D32" s="654" t="s">
        <v>439</v>
      </c>
      <c r="E32" s="31"/>
      <c r="F32" s="32"/>
      <c r="G32" s="33"/>
      <c r="H32" s="34">
        <f>52500000/1000</f>
        <v>52500</v>
      </c>
      <c r="I32" s="35"/>
      <c r="J32" s="35"/>
      <c r="K32" s="35"/>
      <c r="L32" s="35"/>
      <c r="M32" s="35"/>
      <c r="N32" s="36"/>
      <c r="O32" s="35"/>
      <c r="P32" s="36"/>
      <c r="Q32" s="36" t="s">
        <v>496</v>
      </c>
      <c r="R32" s="36">
        <v>26250</v>
      </c>
      <c r="S32" s="36" t="s">
        <v>496</v>
      </c>
      <c r="T32" s="34">
        <v>26250</v>
      </c>
      <c r="U32" s="35"/>
      <c r="V32" s="36"/>
      <c r="W32" s="37"/>
      <c r="X32" s="36"/>
      <c r="Y32" s="38"/>
      <c r="Z32" s="39"/>
      <c r="AA32" s="39"/>
      <c r="AB32" s="39"/>
      <c r="AC32" s="39" t="s">
        <v>558</v>
      </c>
      <c r="AD32" s="39">
        <v>28000</v>
      </c>
      <c r="AE32" s="36"/>
      <c r="AF32" s="40"/>
      <c r="AG32" s="38"/>
      <c r="AH32" s="634"/>
      <c r="AI32" s="41"/>
      <c r="AJ32" s="41"/>
      <c r="AK32" s="41"/>
      <c r="AL32" s="41"/>
      <c r="AM32" s="41"/>
      <c r="AN32" s="41"/>
      <c r="AO32" s="42"/>
      <c r="AP32" s="42">
        <f t="shared" si="11"/>
        <v>106.66666666666667</v>
      </c>
      <c r="AQ32" s="43"/>
      <c r="AR32" s="43"/>
      <c r="AS32" s="768"/>
    </row>
    <row r="33" spans="1:45" s="1" customFormat="1" ht="38.25" x14ac:dyDescent="0.25">
      <c r="A33" s="528">
        <v>11</v>
      </c>
      <c r="B33" s="519"/>
      <c r="C33" s="654" t="s">
        <v>440</v>
      </c>
      <c r="D33" s="654" t="s">
        <v>441</v>
      </c>
      <c r="E33" s="31" t="s">
        <v>505</v>
      </c>
      <c r="F33" s="32">
        <v>60</v>
      </c>
      <c r="G33" s="33" t="s">
        <v>84</v>
      </c>
      <c r="H33" s="34">
        <f>618893526/1000</f>
        <v>618893.52599999995</v>
      </c>
      <c r="I33" s="35">
        <v>12</v>
      </c>
      <c r="J33" s="35">
        <v>45750</v>
      </c>
      <c r="K33" s="35">
        <v>12</v>
      </c>
      <c r="L33" s="538">
        <v>177821.984</v>
      </c>
      <c r="M33" s="35">
        <v>12</v>
      </c>
      <c r="N33" s="36">
        <v>260000</v>
      </c>
      <c r="O33" s="35">
        <v>12</v>
      </c>
      <c r="P33" s="36">
        <v>135321.54199999999</v>
      </c>
      <c r="Q33" s="36"/>
      <c r="R33" s="36"/>
      <c r="S33" s="36"/>
      <c r="T33" s="34"/>
      <c r="U33" s="35" t="s">
        <v>531</v>
      </c>
      <c r="V33" s="36">
        <v>44628</v>
      </c>
      <c r="W33" s="37" t="s">
        <v>531</v>
      </c>
      <c r="X33" s="36">
        <v>177717</v>
      </c>
      <c r="Y33" s="38" t="s">
        <v>531</v>
      </c>
      <c r="Z33" s="39">
        <v>272299</v>
      </c>
      <c r="AA33" s="39" t="s">
        <v>531</v>
      </c>
      <c r="AB33" s="39">
        <v>207270</v>
      </c>
      <c r="AC33" s="39"/>
      <c r="AD33" s="39"/>
      <c r="AE33" s="36"/>
      <c r="AF33" s="40"/>
      <c r="AG33" s="38"/>
      <c r="AH33" s="634">
        <f t="shared" si="7"/>
        <v>97.547540983606567</v>
      </c>
      <c r="AI33" s="41"/>
      <c r="AJ33" s="41">
        <f t="shared" si="8"/>
        <v>99.940961180592836</v>
      </c>
      <c r="AK33" s="41"/>
      <c r="AL33" s="41">
        <f t="shared" si="9"/>
        <v>104.73038461538462</v>
      </c>
      <c r="AM33" s="41"/>
      <c r="AN33" s="41">
        <f t="shared" si="10"/>
        <v>153.16851769247501</v>
      </c>
      <c r="AO33" s="42"/>
      <c r="AP33" s="42"/>
      <c r="AQ33" s="43"/>
      <c r="AR33" s="43"/>
      <c r="AS33" s="768"/>
    </row>
    <row r="34" spans="1:45" s="1" customFormat="1" ht="25.5" x14ac:dyDescent="0.25">
      <c r="A34" s="528"/>
      <c r="B34" s="519"/>
      <c r="C34" s="492"/>
      <c r="D34" s="654" t="s">
        <v>406</v>
      </c>
      <c r="E34" s="31"/>
      <c r="F34" s="32"/>
      <c r="G34" s="33"/>
      <c r="H34" s="34">
        <f>146185927.1/1000</f>
        <v>146185.9271</v>
      </c>
      <c r="I34" s="35"/>
      <c r="J34" s="35"/>
      <c r="K34" s="35"/>
      <c r="L34" s="35"/>
      <c r="M34" s="35"/>
      <c r="N34" s="36"/>
      <c r="O34" s="35"/>
      <c r="P34" s="36"/>
      <c r="Q34" s="36" t="s">
        <v>496</v>
      </c>
      <c r="R34" s="36">
        <v>61870.453999999998</v>
      </c>
      <c r="S34" s="36" t="s">
        <v>496</v>
      </c>
      <c r="T34" s="34">
        <v>84315.471999999994</v>
      </c>
      <c r="U34" s="35"/>
      <c r="V34" s="36"/>
      <c r="W34" s="37"/>
      <c r="X34" s="36"/>
      <c r="Y34" s="38"/>
      <c r="Z34" s="39"/>
      <c r="AA34" s="39"/>
      <c r="AB34" s="39"/>
      <c r="AC34" s="39" t="s">
        <v>558</v>
      </c>
      <c r="AD34" s="39">
        <v>65782</v>
      </c>
      <c r="AE34" s="36"/>
      <c r="AF34" s="40"/>
      <c r="AG34" s="38"/>
      <c r="AH34" s="634"/>
      <c r="AI34" s="41"/>
      <c r="AJ34" s="41"/>
      <c r="AK34" s="41"/>
      <c r="AL34" s="41"/>
      <c r="AM34" s="41"/>
      <c r="AN34" s="41"/>
      <c r="AO34" s="42"/>
      <c r="AP34" s="42">
        <f t="shared" si="11"/>
        <v>106.32215499824844</v>
      </c>
      <c r="AQ34" s="43"/>
      <c r="AR34" s="43"/>
      <c r="AS34" s="768"/>
    </row>
    <row r="35" spans="1:45" s="1" customFormat="1" ht="25.5" x14ac:dyDescent="0.25">
      <c r="A35" s="528">
        <v>12</v>
      </c>
      <c r="B35" s="519"/>
      <c r="C35" s="30" t="s">
        <v>108</v>
      </c>
      <c r="D35" s="654" t="s">
        <v>442</v>
      </c>
      <c r="E35" s="45" t="s">
        <v>507</v>
      </c>
      <c r="F35" s="32">
        <v>40</v>
      </c>
      <c r="G35" s="33" t="s">
        <v>154</v>
      </c>
      <c r="H35" s="34">
        <f>242575000/1000</f>
        <v>242575</v>
      </c>
      <c r="I35" s="35">
        <v>6</v>
      </c>
      <c r="J35" s="35">
        <v>15400</v>
      </c>
      <c r="K35" s="35">
        <v>6</v>
      </c>
      <c r="L35" s="35">
        <v>51700</v>
      </c>
      <c r="M35" s="35">
        <v>6</v>
      </c>
      <c r="N35" s="36">
        <v>89225</v>
      </c>
      <c r="O35" s="35">
        <v>6</v>
      </c>
      <c r="P35" s="36">
        <v>86250</v>
      </c>
      <c r="Q35" s="36"/>
      <c r="R35" s="36"/>
      <c r="S35" s="36"/>
      <c r="T35" s="34"/>
      <c r="U35" s="35" t="s">
        <v>535</v>
      </c>
      <c r="V35" s="36">
        <v>15400</v>
      </c>
      <c r="W35" s="37" t="s">
        <v>535</v>
      </c>
      <c r="X35" s="36">
        <v>51700</v>
      </c>
      <c r="Y35" s="38" t="s">
        <v>535</v>
      </c>
      <c r="Z35" s="39">
        <v>59525</v>
      </c>
      <c r="AA35" s="39" t="s">
        <v>535</v>
      </c>
      <c r="AB35" s="39">
        <v>92815</v>
      </c>
      <c r="AC35" s="39"/>
      <c r="AD35" s="39"/>
      <c r="AE35" s="36"/>
      <c r="AF35" s="40"/>
      <c r="AG35" s="38"/>
      <c r="AH35" s="633">
        <f t="shared" si="7"/>
        <v>100</v>
      </c>
      <c r="AI35" s="41"/>
      <c r="AJ35" s="41">
        <f t="shared" si="8"/>
        <v>100</v>
      </c>
      <c r="AK35" s="41"/>
      <c r="AL35" s="41">
        <f t="shared" si="9"/>
        <v>66.713365088260019</v>
      </c>
      <c r="AM35" s="41"/>
      <c r="AN35" s="41">
        <f t="shared" si="10"/>
        <v>107.61159420289854</v>
      </c>
      <c r="AO35" s="42"/>
      <c r="AP35" s="42"/>
      <c r="AQ35" s="43"/>
      <c r="AR35" s="43"/>
      <c r="AS35" s="768"/>
    </row>
    <row r="36" spans="1:45" s="1" customFormat="1" ht="21.75" customHeight="1" x14ac:dyDescent="0.25">
      <c r="A36" s="528"/>
      <c r="B36" s="519"/>
      <c r="C36" s="30"/>
      <c r="D36" s="654" t="s">
        <v>407</v>
      </c>
      <c r="E36" s="45"/>
      <c r="F36" s="32"/>
      <c r="G36" s="33"/>
      <c r="H36" s="34">
        <f>185700000/1000</f>
        <v>185700</v>
      </c>
      <c r="I36" s="35"/>
      <c r="J36" s="35"/>
      <c r="K36" s="35"/>
      <c r="L36" s="35"/>
      <c r="M36" s="35"/>
      <c r="N36" s="36"/>
      <c r="O36" s="35"/>
      <c r="P36" s="36"/>
      <c r="Q36" s="36" t="s">
        <v>502</v>
      </c>
      <c r="R36" s="36">
        <v>92850</v>
      </c>
      <c r="S36" s="36" t="s">
        <v>502</v>
      </c>
      <c r="T36" s="34">
        <v>92850</v>
      </c>
      <c r="U36" s="35"/>
      <c r="V36" s="36"/>
      <c r="W36" s="37"/>
      <c r="X36" s="36"/>
      <c r="Y36" s="38"/>
      <c r="Z36" s="39"/>
      <c r="AA36" s="39"/>
      <c r="AB36" s="39"/>
      <c r="AC36" s="39" t="s">
        <v>502</v>
      </c>
      <c r="AD36" s="39">
        <v>93650</v>
      </c>
      <c r="AE36" s="36"/>
      <c r="AF36" s="40"/>
      <c r="AG36" s="38"/>
      <c r="AH36" s="636"/>
      <c r="AI36" s="41"/>
      <c r="AJ36" s="41"/>
      <c r="AK36" s="41"/>
      <c r="AL36" s="41"/>
      <c r="AM36" s="41"/>
      <c r="AN36" s="41"/>
      <c r="AO36" s="42"/>
      <c r="AP36" s="42">
        <f t="shared" si="11"/>
        <v>100.86160473882606</v>
      </c>
      <c r="AQ36" s="43"/>
      <c r="AR36" s="43"/>
      <c r="AS36" s="768"/>
    </row>
    <row r="37" spans="1:45" s="1" customFormat="1" ht="36" customHeight="1" x14ac:dyDescent="0.25">
      <c r="A37" s="528">
        <v>13</v>
      </c>
      <c r="B37" s="519"/>
      <c r="C37" s="654" t="s">
        <v>443</v>
      </c>
      <c r="D37" s="654" t="s">
        <v>444</v>
      </c>
      <c r="E37" s="31" t="s">
        <v>505</v>
      </c>
      <c r="F37" s="32">
        <v>60</v>
      </c>
      <c r="G37" s="33" t="s">
        <v>84</v>
      </c>
      <c r="H37" s="34">
        <f>233361875/1000</f>
        <v>233361.875</v>
      </c>
      <c r="I37" s="35">
        <v>12</v>
      </c>
      <c r="J37" s="35">
        <v>47000</v>
      </c>
      <c r="K37" s="35">
        <v>12</v>
      </c>
      <c r="L37" s="35">
        <v>60000</v>
      </c>
      <c r="M37" s="35">
        <v>12</v>
      </c>
      <c r="N37" s="36">
        <v>95000</v>
      </c>
      <c r="O37" s="35">
        <v>12</v>
      </c>
      <c r="P37" s="36">
        <v>31361.875</v>
      </c>
      <c r="Q37" s="36"/>
      <c r="R37" s="36"/>
      <c r="S37" s="36"/>
      <c r="T37" s="34"/>
      <c r="U37" s="35" t="s">
        <v>531</v>
      </c>
      <c r="V37" s="36">
        <v>46680</v>
      </c>
      <c r="W37" s="37" t="s">
        <v>531</v>
      </c>
      <c r="X37" s="36">
        <v>59980</v>
      </c>
      <c r="Y37" s="38" t="s">
        <v>531</v>
      </c>
      <c r="Z37" s="39">
        <v>67765</v>
      </c>
      <c r="AA37" s="39" t="s">
        <v>531</v>
      </c>
      <c r="AB37" s="39">
        <v>39270</v>
      </c>
      <c r="AC37" s="39"/>
      <c r="AD37" s="39"/>
      <c r="AE37" s="36"/>
      <c r="AF37" s="40"/>
      <c r="AG37" s="38"/>
      <c r="AH37" s="634">
        <f t="shared" si="7"/>
        <v>99.319148936170208</v>
      </c>
      <c r="AI37" s="41"/>
      <c r="AJ37" s="41">
        <f t="shared" si="8"/>
        <v>99.966666666666669</v>
      </c>
      <c r="AK37" s="41"/>
      <c r="AL37" s="41">
        <f t="shared" si="9"/>
        <v>71.331578947368428</v>
      </c>
      <c r="AM37" s="41"/>
      <c r="AN37" s="41">
        <f t="shared" si="10"/>
        <v>125.21572769485243</v>
      </c>
      <c r="AO37" s="42"/>
      <c r="AP37" s="42"/>
      <c r="AQ37" s="43"/>
      <c r="AR37" s="43"/>
      <c r="AS37" s="768"/>
    </row>
    <row r="38" spans="1:45" s="1" customFormat="1" ht="30" customHeight="1" x14ac:dyDescent="0.25">
      <c r="A38" s="528"/>
      <c r="B38" s="519"/>
      <c r="C38" s="654"/>
      <c r="D38" s="654" t="s">
        <v>445</v>
      </c>
      <c r="E38" s="31"/>
      <c r="F38" s="32"/>
      <c r="G38" s="33"/>
      <c r="H38" s="34">
        <f>40000000/1000</f>
        <v>40000</v>
      </c>
      <c r="I38" s="35"/>
      <c r="J38" s="35"/>
      <c r="K38" s="35"/>
      <c r="L38" s="35"/>
      <c r="M38" s="35"/>
      <c r="N38" s="36"/>
      <c r="O38" s="35"/>
      <c r="P38" s="36"/>
      <c r="Q38" s="36" t="s">
        <v>496</v>
      </c>
      <c r="R38" s="36">
        <v>20000</v>
      </c>
      <c r="S38" s="36" t="s">
        <v>496</v>
      </c>
      <c r="T38" s="34">
        <v>20000</v>
      </c>
      <c r="U38" s="35"/>
      <c r="V38" s="36"/>
      <c r="W38" s="37"/>
      <c r="X38" s="36"/>
      <c r="Y38" s="38"/>
      <c r="Z38" s="39"/>
      <c r="AA38" s="39"/>
      <c r="AB38" s="39"/>
      <c r="AC38" s="39" t="s">
        <v>558</v>
      </c>
      <c r="AD38" s="39">
        <v>24000</v>
      </c>
      <c r="AE38" s="36"/>
      <c r="AF38" s="40"/>
      <c r="AG38" s="38"/>
      <c r="AH38" s="633"/>
      <c r="AI38" s="41"/>
      <c r="AJ38" s="41"/>
      <c r="AK38" s="41"/>
      <c r="AL38" s="41"/>
      <c r="AM38" s="41"/>
      <c r="AN38" s="41"/>
      <c r="AO38" s="42"/>
      <c r="AP38" s="42">
        <f t="shared" si="11"/>
        <v>120</v>
      </c>
      <c r="AQ38" s="43"/>
      <c r="AR38" s="43"/>
      <c r="AS38" s="768"/>
    </row>
    <row r="39" spans="1:45" s="1" customFormat="1" ht="29.25" customHeight="1" x14ac:dyDescent="0.25">
      <c r="A39" s="528">
        <v>14</v>
      </c>
      <c r="B39" s="519"/>
      <c r="C39" s="654" t="s">
        <v>342</v>
      </c>
      <c r="D39" s="656" t="s">
        <v>447</v>
      </c>
      <c r="E39" s="31" t="s">
        <v>508</v>
      </c>
      <c r="F39" s="32">
        <v>3</v>
      </c>
      <c r="G39" s="33" t="s">
        <v>337</v>
      </c>
      <c r="H39" s="34">
        <f>5000000/1000</f>
        <v>5000</v>
      </c>
      <c r="I39" s="35"/>
      <c r="J39" s="35">
        <v>0</v>
      </c>
      <c r="K39" s="35"/>
      <c r="L39" s="35">
        <v>0</v>
      </c>
      <c r="M39" s="35">
        <v>0</v>
      </c>
      <c r="N39" s="36">
        <v>0</v>
      </c>
      <c r="O39" s="35">
        <v>0</v>
      </c>
      <c r="P39" s="36">
        <v>5000</v>
      </c>
      <c r="Q39" s="36"/>
      <c r="R39" s="36"/>
      <c r="S39" s="36"/>
      <c r="T39" s="34"/>
      <c r="U39" s="35"/>
      <c r="V39" s="36"/>
      <c r="W39" s="37"/>
      <c r="X39" s="36">
        <v>0</v>
      </c>
      <c r="Y39" s="38"/>
      <c r="Z39" s="39">
        <v>0</v>
      </c>
      <c r="AA39" s="39"/>
      <c r="AB39" s="39">
        <v>0</v>
      </c>
      <c r="AC39" s="39"/>
      <c r="AD39" s="39"/>
      <c r="AE39" s="36"/>
      <c r="AF39" s="40"/>
      <c r="AG39" s="38"/>
      <c r="AH39" s="633"/>
      <c r="AI39" s="41"/>
      <c r="AJ39" s="41"/>
      <c r="AK39" s="41"/>
      <c r="AL39" s="41"/>
      <c r="AM39" s="41"/>
      <c r="AN39" s="41"/>
      <c r="AO39" s="42"/>
      <c r="AP39" s="42"/>
      <c r="AQ39" s="43"/>
      <c r="AR39" s="43"/>
      <c r="AS39" s="768"/>
    </row>
    <row r="40" spans="1:45" s="1" customFormat="1" ht="26.45" customHeight="1" x14ac:dyDescent="0.25">
      <c r="A40" s="528"/>
      <c r="B40" s="519"/>
      <c r="C40" s="637"/>
      <c r="D40" s="657" t="s">
        <v>446</v>
      </c>
      <c r="E40" s="31"/>
      <c r="F40" s="32"/>
      <c r="G40" s="33"/>
      <c r="H40" s="34">
        <f>10000000/1000</f>
        <v>10000</v>
      </c>
      <c r="I40" s="35"/>
      <c r="J40" s="35"/>
      <c r="K40" s="35"/>
      <c r="L40" s="35"/>
      <c r="M40" s="35"/>
      <c r="N40" s="36"/>
      <c r="O40" s="36"/>
      <c r="P40" s="36"/>
      <c r="Q40" s="36" t="s">
        <v>503</v>
      </c>
      <c r="R40" s="36">
        <v>5000</v>
      </c>
      <c r="S40" s="36" t="s">
        <v>503</v>
      </c>
      <c r="T40" s="34">
        <v>5000</v>
      </c>
      <c r="U40" s="35"/>
      <c r="V40" s="36"/>
      <c r="W40" s="37"/>
      <c r="X40" s="36"/>
      <c r="Y40" s="38"/>
      <c r="Z40" s="39"/>
      <c r="AA40" s="39"/>
      <c r="AB40" s="39"/>
      <c r="AC40" s="39" t="s">
        <v>503</v>
      </c>
      <c r="AD40" s="39">
        <v>0</v>
      </c>
      <c r="AE40" s="36"/>
      <c r="AF40" s="40"/>
      <c r="AG40" s="38"/>
      <c r="AH40" s="633"/>
      <c r="AI40" s="41"/>
      <c r="AJ40" s="41"/>
      <c r="AK40" s="41"/>
      <c r="AL40" s="41"/>
      <c r="AM40" s="41"/>
      <c r="AN40" s="41"/>
      <c r="AO40" s="42"/>
      <c r="AP40" s="42">
        <f t="shared" si="11"/>
        <v>0</v>
      </c>
      <c r="AQ40" s="43"/>
      <c r="AR40" s="43"/>
      <c r="AS40" s="768"/>
    </row>
    <row r="41" spans="1:45" s="1" customFormat="1" ht="15" customHeight="1" x14ac:dyDescent="0.25">
      <c r="A41" s="529"/>
      <c r="B41" s="522"/>
      <c r="C41" s="756" t="s">
        <v>45</v>
      </c>
      <c r="D41" s="756"/>
      <c r="E41" s="756"/>
      <c r="F41" s="756"/>
      <c r="G41" s="756"/>
      <c r="H41" s="756"/>
      <c r="I41" s="756"/>
      <c r="J41" s="756"/>
      <c r="K41" s="756"/>
      <c r="L41" s="756"/>
      <c r="M41" s="756"/>
      <c r="N41" s="756"/>
      <c r="O41" s="756"/>
      <c r="P41" s="756"/>
      <c r="Q41" s="756"/>
      <c r="R41" s="756"/>
      <c r="S41" s="756"/>
      <c r="T41" s="799"/>
      <c r="U41" s="612">
        <f>U12</f>
        <v>1</v>
      </c>
      <c r="V41" s="64">
        <f>V12/T12*100</f>
        <v>56.9714793007442</v>
      </c>
      <c r="W41" s="617">
        <f>W12</f>
        <v>1</v>
      </c>
      <c r="X41" s="66">
        <f>X12/T12*100</f>
        <v>138.76948091557981</v>
      </c>
      <c r="Y41" s="617">
        <f>Y12</f>
        <v>1</v>
      </c>
      <c r="Z41" s="66">
        <f>Z12/T12*100</f>
        <v>188.73848167462006</v>
      </c>
      <c r="AA41" s="66"/>
      <c r="AB41" s="66">
        <f>AB12/T12*100</f>
        <v>138.40819149701463</v>
      </c>
      <c r="AC41" s="66"/>
      <c r="AD41" s="66"/>
      <c r="AE41" s="65">
        <f>AE12</f>
        <v>0</v>
      </c>
      <c r="AF41" s="66">
        <f>AF12/T12*100</f>
        <v>0</v>
      </c>
      <c r="AG41" s="67">
        <f>(U41+W41+Y41+AE41)</f>
        <v>3</v>
      </c>
      <c r="AH41" s="66">
        <f>V41+X41+Z41+AF41</f>
        <v>384.47944189094403</v>
      </c>
      <c r="AI41" s="66"/>
      <c r="AJ41" s="66"/>
      <c r="AK41" s="66"/>
      <c r="AL41" s="66"/>
      <c r="AM41" s="66"/>
      <c r="AN41" s="66"/>
      <c r="AO41" s="68"/>
      <c r="AP41" s="68"/>
      <c r="AQ41" s="69">
        <f>SUM(AQ31:AQ40)/24</f>
        <v>0</v>
      </c>
      <c r="AR41" s="69">
        <f>SUM(AR31:AR40)/24</f>
        <v>0</v>
      </c>
      <c r="AS41" s="70"/>
    </row>
    <row r="42" spans="1:45" s="1" customFormat="1" ht="15" customHeight="1" x14ac:dyDescent="0.25">
      <c r="A42" s="529"/>
      <c r="B42" s="522"/>
      <c r="C42" s="756" t="s">
        <v>46</v>
      </c>
      <c r="D42" s="756"/>
      <c r="E42" s="756"/>
      <c r="F42" s="756"/>
      <c r="G42" s="756"/>
      <c r="H42" s="756"/>
      <c r="I42" s="756"/>
      <c r="J42" s="756"/>
      <c r="K42" s="756"/>
      <c r="L42" s="756"/>
      <c r="M42" s="756"/>
      <c r="N42" s="756"/>
      <c r="O42" s="756"/>
      <c r="P42" s="756"/>
      <c r="Q42" s="756"/>
      <c r="R42" s="756"/>
      <c r="S42" s="756"/>
      <c r="T42" s="799"/>
      <c r="U42" s="71" t="s">
        <v>51</v>
      </c>
      <c r="V42" s="71" t="s">
        <v>51</v>
      </c>
      <c r="W42" s="65" t="s">
        <v>52</v>
      </c>
      <c r="X42" s="71" t="s">
        <v>52</v>
      </c>
      <c r="Y42" s="67" t="s">
        <v>52</v>
      </c>
      <c r="Z42" s="71" t="s">
        <v>47</v>
      </c>
      <c r="AA42" s="71"/>
      <c r="AB42" s="71"/>
      <c r="AC42" s="71"/>
      <c r="AD42" s="71"/>
      <c r="AE42" s="71" t="s">
        <v>52</v>
      </c>
      <c r="AF42" s="72" t="s">
        <v>52</v>
      </c>
      <c r="AG42" s="67" t="s">
        <v>52</v>
      </c>
      <c r="AH42" s="71" t="s">
        <v>52</v>
      </c>
      <c r="AI42" s="71"/>
      <c r="AJ42" s="71"/>
      <c r="AK42" s="71"/>
      <c r="AL42" s="71"/>
      <c r="AM42" s="71"/>
      <c r="AN42" s="71"/>
      <c r="AO42" s="71"/>
      <c r="AP42" s="68"/>
      <c r="AQ42" s="68"/>
      <c r="AR42" s="68"/>
      <c r="AS42" s="70"/>
    </row>
    <row r="43" spans="1:45" s="1" customFormat="1" ht="40.5" customHeight="1" x14ac:dyDescent="0.25">
      <c r="A43" s="527" t="s">
        <v>36</v>
      </c>
      <c r="B43" s="522"/>
      <c r="C43" s="520" t="s">
        <v>132</v>
      </c>
      <c r="D43" s="5" t="s">
        <v>7</v>
      </c>
      <c r="E43" s="5" t="s">
        <v>504</v>
      </c>
      <c r="F43" s="73">
        <f>(SUM(F44:F47)/SUM(F44:F47))*100</f>
        <v>100</v>
      </c>
      <c r="G43" s="74" t="s">
        <v>50</v>
      </c>
      <c r="H43" s="75">
        <f>SUM(H44:H47)</f>
        <v>558180</v>
      </c>
      <c r="I43" s="76"/>
      <c r="J43" s="76">
        <f>J44</f>
        <v>675000</v>
      </c>
      <c r="K43" s="76" t="str">
        <f t="shared" ref="K43:M43" si="12">K44</f>
        <v>6 unit</v>
      </c>
      <c r="L43" s="76">
        <f t="shared" si="12"/>
        <v>95000</v>
      </c>
      <c r="M43" s="76" t="str">
        <f t="shared" si="12"/>
        <v>6 unit</v>
      </c>
      <c r="N43" s="76">
        <f>N44</f>
        <v>98920</v>
      </c>
      <c r="O43" s="76" t="str">
        <f t="shared" ref="O43" si="13">O44</f>
        <v>6 unit</v>
      </c>
      <c r="P43" s="76">
        <f t="shared" ref="P43" si="14">P44</f>
        <v>98920</v>
      </c>
      <c r="Q43" s="77" t="str">
        <f>Q45</f>
        <v>6 unit</v>
      </c>
      <c r="R43" s="77">
        <f t="shared" ref="R43" si="15">SUM(R44:R45)</f>
        <v>98920</v>
      </c>
      <c r="S43" s="77" t="str">
        <f>S45</f>
        <v>6 unit</v>
      </c>
      <c r="T43" s="77">
        <f>SUM(T44:T45)</f>
        <v>98920</v>
      </c>
      <c r="U43" s="613">
        <v>1</v>
      </c>
      <c r="V43" s="77">
        <f>V44</f>
        <v>66925</v>
      </c>
      <c r="W43" s="616">
        <v>1</v>
      </c>
      <c r="X43" s="77">
        <f>X44</f>
        <v>92665</v>
      </c>
      <c r="Y43" s="78"/>
      <c r="Z43" s="80">
        <f>SUM(Z44:Z47)</f>
        <v>86982</v>
      </c>
      <c r="AA43" s="80"/>
      <c r="AB43" s="80">
        <f>SUM(AB44:AB47)</f>
        <v>94148</v>
      </c>
      <c r="AC43" s="80">
        <f>SUM(AC44:AC47)</f>
        <v>0</v>
      </c>
      <c r="AD43" s="80">
        <f>SUM(AD44:AD47)</f>
        <v>98920</v>
      </c>
      <c r="AE43" s="76"/>
      <c r="AF43" s="81"/>
      <c r="AG43" s="82"/>
      <c r="AH43" s="77"/>
      <c r="AI43" s="77"/>
      <c r="AJ43" s="77"/>
      <c r="AK43" s="77"/>
      <c r="AL43" s="77"/>
      <c r="AM43" s="77"/>
      <c r="AN43" s="77"/>
      <c r="AO43" s="83">
        <f>AO45+AO47</f>
        <v>0</v>
      </c>
      <c r="AP43" s="83">
        <f>AP45+AP47</f>
        <v>100</v>
      </c>
      <c r="AQ43" s="84"/>
      <c r="AR43" s="84"/>
      <c r="AS43" s="85"/>
    </row>
    <row r="44" spans="1:45" s="1" customFormat="1" ht="25.5" x14ac:dyDescent="0.25">
      <c r="A44" s="530">
        <v>15</v>
      </c>
      <c r="B44" s="522"/>
      <c r="C44" s="658" t="s">
        <v>448</v>
      </c>
      <c r="D44" s="658" t="s">
        <v>451</v>
      </c>
      <c r="E44" s="86" t="s">
        <v>509</v>
      </c>
      <c r="F44" s="32">
        <v>36</v>
      </c>
      <c r="G44" s="33" t="s">
        <v>135</v>
      </c>
      <c r="H44" s="36">
        <v>558180</v>
      </c>
      <c r="I44" s="35" t="s">
        <v>524</v>
      </c>
      <c r="J44" s="35">
        <v>675000</v>
      </c>
      <c r="K44" s="35" t="s">
        <v>524</v>
      </c>
      <c r="L44" s="35">
        <v>95000</v>
      </c>
      <c r="M44" s="35" t="s">
        <v>524</v>
      </c>
      <c r="N44" s="36">
        <v>98920</v>
      </c>
      <c r="O44" s="36" t="s">
        <v>524</v>
      </c>
      <c r="P44" s="36">
        <v>98920</v>
      </c>
      <c r="Q44" s="36"/>
      <c r="R44" s="36"/>
      <c r="S44" s="35"/>
      <c r="T44" s="87"/>
      <c r="U44" s="88" t="s">
        <v>524</v>
      </c>
      <c r="V44" s="36">
        <v>66925</v>
      </c>
      <c r="W44" s="37" t="s">
        <v>524</v>
      </c>
      <c r="X44" s="36">
        <v>92665</v>
      </c>
      <c r="Y44" s="38" t="s">
        <v>524</v>
      </c>
      <c r="Z44" s="39">
        <v>86982</v>
      </c>
      <c r="AA44" s="39" t="s">
        <v>537</v>
      </c>
      <c r="AB44" s="39">
        <v>94148</v>
      </c>
      <c r="AC44" s="39"/>
      <c r="AD44" s="39"/>
      <c r="AE44" s="36"/>
      <c r="AF44" s="40"/>
      <c r="AG44" s="38"/>
      <c r="AH44" s="41">
        <f>(V44/J44)*100</f>
        <v>9.9148148148148145</v>
      </c>
      <c r="AI44" s="41"/>
      <c r="AJ44" s="41">
        <f>(X44/L44)*100</f>
        <v>97.542105263157893</v>
      </c>
      <c r="AK44" s="41"/>
      <c r="AL44" s="41">
        <f>(Z44/N44)*100</f>
        <v>87.931661949049726</v>
      </c>
      <c r="AM44" s="41"/>
      <c r="AN44" s="41">
        <f>(AB44/P44)*100</f>
        <v>95.175899716942979</v>
      </c>
      <c r="AO44" s="42"/>
      <c r="AP44" s="42"/>
      <c r="AQ44" s="43"/>
      <c r="AR44" s="43"/>
      <c r="AS44" s="767"/>
    </row>
    <row r="45" spans="1:45" s="1" customFormat="1" ht="18.75" customHeight="1" x14ac:dyDescent="0.25">
      <c r="A45" s="530"/>
      <c r="B45" s="522"/>
      <c r="C45" s="30"/>
      <c r="D45" s="659" t="s">
        <v>452</v>
      </c>
      <c r="E45" s="86"/>
      <c r="F45" s="32"/>
      <c r="G45" s="33"/>
      <c r="H45" s="36"/>
      <c r="I45" s="35"/>
      <c r="J45" s="35"/>
      <c r="K45" s="35"/>
      <c r="L45" s="35"/>
      <c r="M45" s="35"/>
      <c r="N45" s="36"/>
      <c r="O45" s="36"/>
      <c r="P45" s="36"/>
      <c r="Q45" s="36" t="s">
        <v>524</v>
      </c>
      <c r="R45" s="36">
        <v>98920</v>
      </c>
      <c r="S45" s="35" t="s">
        <v>524</v>
      </c>
      <c r="T45" s="87">
        <v>98920</v>
      </c>
      <c r="U45" s="35"/>
      <c r="V45" s="36"/>
      <c r="W45" s="89"/>
      <c r="X45" s="36"/>
      <c r="Y45" s="38"/>
      <c r="Z45" s="39"/>
      <c r="AA45" s="39"/>
      <c r="AB45" s="39"/>
      <c r="AC45" s="39" t="s">
        <v>524</v>
      </c>
      <c r="AD45" s="39">
        <v>98920</v>
      </c>
      <c r="AE45" s="36"/>
      <c r="AF45" s="40"/>
      <c r="AG45" s="38"/>
      <c r="AH45" s="41"/>
      <c r="AI45" s="41"/>
      <c r="AJ45" s="41"/>
      <c r="AK45" s="41"/>
      <c r="AL45" s="41"/>
      <c r="AM45" s="41"/>
      <c r="AN45" s="41"/>
      <c r="AO45" s="42"/>
      <c r="AP45" s="42">
        <f>AD45/R45*100</f>
        <v>100</v>
      </c>
      <c r="AQ45" s="43"/>
      <c r="AR45" s="43"/>
      <c r="AS45" s="768"/>
    </row>
    <row r="46" spans="1:45" s="1" customFormat="1" ht="15" customHeight="1" x14ac:dyDescent="0.25">
      <c r="A46" s="530">
        <v>16</v>
      </c>
      <c r="B46" s="522"/>
      <c r="C46" s="654" t="s">
        <v>449</v>
      </c>
      <c r="D46" s="654" t="s">
        <v>451</v>
      </c>
      <c r="E46" s="86" t="s">
        <v>510</v>
      </c>
      <c r="F46" s="32"/>
      <c r="G46" s="33"/>
      <c r="H46" s="36"/>
      <c r="I46" s="35"/>
      <c r="J46" s="35"/>
      <c r="K46" s="35"/>
      <c r="L46" s="35"/>
      <c r="M46" s="35"/>
      <c r="N46" s="36"/>
      <c r="O46" s="36"/>
      <c r="P46" s="36"/>
      <c r="Q46" s="36"/>
      <c r="R46" s="36"/>
      <c r="S46" s="35"/>
      <c r="T46" s="87"/>
      <c r="U46" s="35"/>
      <c r="V46" s="36"/>
      <c r="W46" s="89"/>
      <c r="X46" s="36"/>
      <c r="Y46" s="38"/>
      <c r="Z46" s="39"/>
      <c r="AA46" s="39"/>
      <c r="AB46" s="39"/>
      <c r="AC46" s="39"/>
      <c r="AD46" s="39"/>
      <c r="AE46" s="36"/>
      <c r="AF46" s="40"/>
      <c r="AG46" s="38"/>
      <c r="AH46" s="41"/>
      <c r="AI46" s="41"/>
      <c r="AJ46" s="41"/>
      <c r="AK46" s="41"/>
      <c r="AL46" s="41"/>
      <c r="AM46" s="41"/>
      <c r="AN46" s="41"/>
      <c r="AO46" s="42"/>
      <c r="AP46" s="42"/>
      <c r="AQ46" s="43"/>
      <c r="AR46" s="43"/>
      <c r="AS46" s="768"/>
    </row>
    <row r="47" spans="1:45" s="1" customFormat="1" ht="25.5" x14ac:dyDescent="0.25">
      <c r="A47" s="530">
        <v>17</v>
      </c>
      <c r="B47" s="522"/>
      <c r="C47" s="657" t="s">
        <v>450</v>
      </c>
      <c r="D47" s="657" t="s">
        <v>453</v>
      </c>
      <c r="E47" s="86" t="s">
        <v>511</v>
      </c>
      <c r="F47" s="32"/>
      <c r="G47" s="33"/>
      <c r="H47" s="36"/>
      <c r="I47" s="35"/>
      <c r="J47" s="35"/>
      <c r="K47" s="35"/>
      <c r="L47" s="35"/>
      <c r="M47" s="35"/>
      <c r="N47" s="36"/>
      <c r="O47" s="36"/>
      <c r="P47" s="36"/>
      <c r="Q47" s="36"/>
      <c r="R47" s="36"/>
      <c r="S47" s="35"/>
      <c r="T47" s="87"/>
      <c r="U47" s="35"/>
      <c r="V47" s="36"/>
      <c r="W47" s="37"/>
      <c r="X47" s="36"/>
      <c r="Y47" s="38"/>
      <c r="Z47" s="39"/>
      <c r="AA47" s="39"/>
      <c r="AB47" s="39"/>
      <c r="AC47" s="39"/>
      <c r="AD47" s="39"/>
      <c r="AE47" s="36"/>
      <c r="AF47" s="40"/>
      <c r="AG47" s="38"/>
      <c r="AH47" s="41"/>
      <c r="AI47" s="41"/>
      <c r="AJ47" s="41"/>
      <c r="AK47" s="41"/>
      <c r="AL47" s="41"/>
      <c r="AM47" s="41"/>
      <c r="AN47" s="41"/>
      <c r="AO47" s="42"/>
      <c r="AP47" s="42"/>
      <c r="AQ47" s="43"/>
      <c r="AR47" s="43"/>
      <c r="AS47" s="768"/>
    </row>
    <row r="48" spans="1:45" s="1" customFormat="1" ht="15" customHeight="1" x14ac:dyDescent="0.25">
      <c r="A48" s="529"/>
      <c r="B48" s="522"/>
      <c r="C48" s="756" t="s">
        <v>45</v>
      </c>
      <c r="D48" s="756"/>
      <c r="E48" s="756"/>
      <c r="F48" s="756"/>
      <c r="G48" s="756"/>
      <c r="H48" s="756"/>
      <c r="I48" s="756"/>
      <c r="J48" s="756"/>
      <c r="K48" s="756"/>
      <c r="L48" s="756"/>
      <c r="M48" s="756"/>
      <c r="N48" s="756"/>
      <c r="O48" s="756"/>
      <c r="P48" s="756"/>
      <c r="Q48" s="756"/>
      <c r="R48" s="756"/>
      <c r="S48" s="756"/>
      <c r="T48" s="799"/>
      <c r="U48" s="612">
        <f>U43</f>
        <v>1</v>
      </c>
      <c r="V48" s="63">
        <f>V43/T43*100</f>
        <v>67.655681358673675</v>
      </c>
      <c r="W48" s="617">
        <f>W43</f>
        <v>1</v>
      </c>
      <c r="X48" s="63">
        <f>X43/T43*100</f>
        <v>93.676708451273754</v>
      </c>
      <c r="Y48" s="95">
        <f>Y43</f>
        <v>0</v>
      </c>
      <c r="Z48" s="63">
        <f>Z43/T43*100</f>
        <v>87.931661949049726</v>
      </c>
      <c r="AA48" s="63"/>
      <c r="AB48" s="63">
        <f>AB43/T43*100</f>
        <v>95.175899716942979</v>
      </c>
      <c r="AC48" s="63">
        <f t="shared" ref="AC48:AD48" si="16">AC43/U43*100</f>
        <v>0</v>
      </c>
      <c r="AD48" s="63">
        <f t="shared" si="16"/>
        <v>147.80724691819199</v>
      </c>
      <c r="AE48" s="95">
        <f>AE43</f>
        <v>0</v>
      </c>
      <c r="AF48" s="63">
        <f>AF43/T43*100</f>
        <v>0</v>
      </c>
      <c r="AG48" s="96">
        <f>(U48+W48+Y48+AE48)</f>
        <v>2</v>
      </c>
      <c r="AH48" s="63">
        <f t="shared" ref="AH48" si="17">V48+X48+Z48+AF48</f>
        <v>249.26405175899714</v>
      </c>
      <c r="AI48" s="63"/>
      <c r="AJ48" s="63"/>
      <c r="AK48" s="63"/>
      <c r="AL48" s="63"/>
      <c r="AM48" s="63"/>
      <c r="AN48" s="63"/>
      <c r="AO48" s="68"/>
      <c r="AP48" s="68"/>
      <c r="AQ48" s="69">
        <f>SUM(AQ44:AQ47)/5</f>
        <v>0</v>
      </c>
      <c r="AR48" s="69">
        <f>SUM(AR44:AR47)/5</f>
        <v>0</v>
      </c>
      <c r="AS48" s="70"/>
    </row>
    <row r="49" spans="1:45" s="1" customFormat="1" ht="15" customHeight="1" x14ac:dyDescent="0.25">
      <c r="A49" s="529"/>
      <c r="B49" s="522"/>
      <c r="C49" s="756" t="s">
        <v>46</v>
      </c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6"/>
      <c r="S49" s="756"/>
      <c r="T49" s="799"/>
      <c r="U49" s="71"/>
      <c r="V49" s="71"/>
      <c r="W49" s="65" t="s">
        <v>52</v>
      </c>
      <c r="X49" s="71" t="s">
        <v>52</v>
      </c>
      <c r="Y49" s="67"/>
      <c r="Z49" s="71"/>
      <c r="AA49" s="71"/>
      <c r="AB49" s="71"/>
      <c r="AC49" s="71"/>
      <c r="AD49" s="71"/>
      <c r="AE49" s="71"/>
      <c r="AF49" s="71" t="s">
        <v>52</v>
      </c>
      <c r="AG49" s="71" t="s">
        <v>52</v>
      </c>
      <c r="AH49" s="71" t="s">
        <v>48</v>
      </c>
      <c r="AI49" s="71"/>
      <c r="AJ49" s="71"/>
      <c r="AK49" s="71"/>
      <c r="AL49" s="71"/>
      <c r="AM49" s="71"/>
      <c r="AN49" s="71"/>
      <c r="AO49" s="71"/>
      <c r="AP49" s="68"/>
      <c r="AQ49" s="68"/>
      <c r="AR49" s="68"/>
      <c r="AS49" s="70"/>
    </row>
    <row r="50" spans="1:45" s="1" customFormat="1" ht="15" customHeight="1" x14ac:dyDescent="0.25">
      <c r="A50" s="527" t="s">
        <v>36</v>
      </c>
      <c r="B50" s="522"/>
      <c r="C50" s="520" t="s">
        <v>147</v>
      </c>
      <c r="D50" s="97" t="s">
        <v>512</v>
      </c>
      <c r="E50" s="97" t="s">
        <v>504</v>
      </c>
      <c r="F50" s="24">
        <v>100</v>
      </c>
      <c r="G50" s="98" t="s">
        <v>50</v>
      </c>
      <c r="H50" s="23">
        <f>SUM(H51:H52)</f>
        <v>67250</v>
      </c>
      <c r="I50" s="21"/>
      <c r="J50" s="21">
        <f>J51</f>
        <v>3800</v>
      </c>
      <c r="K50" s="21">
        <f t="shared" ref="K50:M50" si="18">K51</f>
        <v>26</v>
      </c>
      <c r="L50" s="21">
        <f t="shared" si="18"/>
        <v>10750</v>
      </c>
      <c r="M50" s="21">
        <f t="shared" si="18"/>
        <v>26</v>
      </c>
      <c r="N50" s="21">
        <f>N51</f>
        <v>14600</v>
      </c>
      <c r="O50" s="21">
        <f t="shared" ref="O50" si="19">O51</f>
        <v>26</v>
      </c>
      <c r="P50" s="21">
        <f t="shared" ref="P50" si="20">P51</f>
        <v>12700</v>
      </c>
      <c r="Q50" s="21">
        <f>SUM(Q51:Q52)</f>
        <v>24</v>
      </c>
      <c r="R50" s="21">
        <f t="shared" ref="R50:T50" si="21">SUM(R51:R52)</f>
        <v>12700</v>
      </c>
      <c r="S50" s="21">
        <f t="shared" si="21"/>
        <v>30</v>
      </c>
      <c r="T50" s="21">
        <f t="shared" si="21"/>
        <v>12700</v>
      </c>
      <c r="U50" s="611">
        <v>1</v>
      </c>
      <c r="V50" s="23">
        <f>V51</f>
        <v>3800</v>
      </c>
      <c r="W50" s="615">
        <v>1</v>
      </c>
      <c r="X50" s="23">
        <f>X51</f>
        <v>10750</v>
      </c>
      <c r="Y50" s="25"/>
      <c r="Z50" s="26">
        <f>SUM(Z51:Z52)</f>
        <v>12270</v>
      </c>
      <c r="AA50" s="26"/>
      <c r="AB50" s="26">
        <f>SUM(AB51:AB52)</f>
        <v>12570</v>
      </c>
      <c r="AC50" s="26">
        <f t="shared" ref="AC50:AD50" si="22">SUM(AC51:AC52)</f>
        <v>0</v>
      </c>
      <c r="AD50" s="26">
        <f t="shared" si="22"/>
        <v>0</v>
      </c>
      <c r="AE50" s="24"/>
      <c r="AF50" s="23"/>
      <c r="AG50" s="25"/>
      <c r="AH50" s="23"/>
      <c r="AI50" s="23"/>
      <c r="AJ50" s="23"/>
      <c r="AK50" s="23"/>
      <c r="AL50" s="23"/>
      <c r="AM50" s="23"/>
      <c r="AN50" s="23"/>
      <c r="AO50" s="99">
        <f>AO52</f>
        <v>0</v>
      </c>
      <c r="AP50" s="99">
        <f>SUM(AP51:AP52)</f>
        <v>0</v>
      </c>
      <c r="AQ50" s="100"/>
      <c r="AR50" s="100"/>
      <c r="AS50" s="101"/>
    </row>
    <row r="51" spans="1:45" s="1" customFormat="1" ht="25.5" x14ac:dyDescent="0.25">
      <c r="A51" s="531">
        <v>19</v>
      </c>
      <c r="B51" s="800"/>
      <c r="C51" s="523" t="s">
        <v>454</v>
      </c>
      <c r="D51" s="490" t="s">
        <v>532</v>
      </c>
      <c r="E51" s="493" t="s">
        <v>513</v>
      </c>
      <c r="F51" s="103">
        <v>104</v>
      </c>
      <c r="G51" s="50" t="s">
        <v>150</v>
      </c>
      <c r="H51" s="51">
        <v>41850</v>
      </c>
      <c r="I51" s="552" t="s">
        <v>525</v>
      </c>
      <c r="J51" s="552">
        <v>3800</v>
      </c>
      <c r="K51" s="552">
        <v>26</v>
      </c>
      <c r="L51" s="552">
        <v>10750</v>
      </c>
      <c r="M51" s="552">
        <v>26</v>
      </c>
      <c r="N51" s="553">
        <v>14600</v>
      </c>
      <c r="O51" s="553">
        <v>26</v>
      </c>
      <c r="P51" s="553">
        <v>12700</v>
      </c>
      <c r="Q51" s="495"/>
      <c r="R51" s="495"/>
      <c r="S51" s="495"/>
      <c r="T51" s="495"/>
      <c r="U51" s="494" t="s">
        <v>525</v>
      </c>
      <c r="V51" s="495">
        <v>3800</v>
      </c>
      <c r="W51" s="496" t="s">
        <v>525</v>
      </c>
      <c r="X51" s="495">
        <v>10750</v>
      </c>
      <c r="Y51" s="496" t="s">
        <v>525</v>
      </c>
      <c r="Z51" s="497">
        <v>12270</v>
      </c>
      <c r="AA51" s="497" t="s">
        <v>525</v>
      </c>
      <c r="AB51" s="497">
        <v>12570</v>
      </c>
      <c r="AC51" s="497">
        <v>0</v>
      </c>
      <c r="AD51" s="497">
        <v>0</v>
      </c>
      <c r="AE51" s="494"/>
      <c r="AF51" s="495"/>
      <c r="AG51" s="496"/>
      <c r="AH51" s="495">
        <f>(V51/J51)*100</f>
        <v>100</v>
      </c>
      <c r="AI51" s="495"/>
      <c r="AJ51" s="495">
        <f>(X51/L51)*100</f>
        <v>100</v>
      </c>
      <c r="AK51" s="495"/>
      <c r="AL51" s="495">
        <f>(Z51/N51)*100</f>
        <v>84.041095890410958</v>
      </c>
      <c r="AM51" s="495"/>
      <c r="AN51" s="495">
        <f>(AB51/P51)*100</f>
        <v>98.976377952755897</v>
      </c>
      <c r="AO51" s="498"/>
      <c r="AP51" s="498"/>
      <c r="AQ51" s="499"/>
      <c r="AR51" s="499"/>
      <c r="AS51" s="500"/>
    </row>
    <row r="52" spans="1:45" s="1" customFormat="1" ht="15" customHeight="1" x14ac:dyDescent="0.25">
      <c r="A52" s="532"/>
      <c r="B52" s="800"/>
      <c r="C52" s="523"/>
      <c r="D52" s="490" t="s">
        <v>416</v>
      </c>
      <c r="E52" s="90"/>
      <c r="F52" s="103">
        <v>54</v>
      </c>
      <c r="G52" s="50" t="s">
        <v>150</v>
      </c>
      <c r="H52" s="51">
        <v>25400</v>
      </c>
      <c r="I52" s="52"/>
      <c r="J52" s="52"/>
      <c r="K52" s="52"/>
      <c r="L52" s="52"/>
      <c r="M52" s="52"/>
      <c r="N52" s="53"/>
      <c r="O52" s="53"/>
      <c r="P52" s="53"/>
      <c r="Q52" s="53">
        <v>24</v>
      </c>
      <c r="R52" s="53">
        <v>12700</v>
      </c>
      <c r="S52" s="104">
        <v>30</v>
      </c>
      <c r="T52" s="53">
        <v>12700</v>
      </c>
      <c r="U52" s="93"/>
      <c r="V52" s="53"/>
      <c r="W52" s="105"/>
      <c r="X52" s="53"/>
      <c r="Y52" s="56"/>
      <c r="Z52" s="61"/>
      <c r="AA52" s="61"/>
      <c r="AB52" s="61"/>
      <c r="AC52" s="61"/>
      <c r="AD52" s="61"/>
      <c r="AE52" s="53"/>
      <c r="AF52" s="106"/>
      <c r="AG52" s="59"/>
      <c r="AH52" s="495"/>
      <c r="AI52" s="57"/>
      <c r="AJ52" s="495"/>
      <c r="AK52" s="57"/>
      <c r="AL52" s="57"/>
      <c r="AM52" s="57"/>
      <c r="AN52" s="57"/>
      <c r="AO52" s="58"/>
      <c r="AP52" s="58">
        <f>AD52/R52*100</f>
        <v>0</v>
      </c>
      <c r="AQ52" s="59"/>
      <c r="AR52" s="59"/>
      <c r="AS52" s="107"/>
    </row>
    <row r="53" spans="1:45" s="1" customFormat="1" ht="15" customHeight="1" x14ac:dyDescent="0.25">
      <c r="A53" s="529"/>
      <c r="B53" s="800"/>
      <c r="C53" s="756" t="s">
        <v>45</v>
      </c>
      <c r="D53" s="756"/>
      <c r="E53" s="756"/>
      <c r="F53" s="756"/>
      <c r="G53" s="756"/>
      <c r="H53" s="756"/>
      <c r="I53" s="756"/>
      <c r="J53" s="756"/>
      <c r="K53" s="756"/>
      <c r="L53" s="756"/>
      <c r="M53" s="756"/>
      <c r="N53" s="756"/>
      <c r="O53" s="756"/>
      <c r="P53" s="756"/>
      <c r="Q53" s="756"/>
      <c r="R53" s="756"/>
      <c r="S53" s="756"/>
      <c r="T53" s="799"/>
      <c r="U53" s="612">
        <f>U50</f>
        <v>1</v>
      </c>
      <c r="V53" s="64">
        <f>V50/T50*100</f>
        <v>29.921259842519689</v>
      </c>
      <c r="W53" s="617">
        <f>W50</f>
        <v>1</v>
      </c>
      <c r="X53" s="64">
        <f>X50/T50*100</f>
        <v>84.645669291338592</v>
      </c>
      <c r="Y53" s="617">
        <v>1</v>
      </c>
      <c r="Z53" s="64">
        <f>Z50/T50*100</f>
        <v>96.614173228346459</v>
      </c>
      <c r="AA53" s="617">
        <v>1</v>
      </c>
      <c r="AB53" s="64">
        <f>AB50/T50*100</f>
        <v>98.976377952755897</v>
      </c>
      <c r="AC53" s="617">
        <v>1</v>
      </c>
      <c r="AD53" s="64"/>
      <c r="AE53" s="63">
        <f>AE50</f>
        <v>0</v>
      </c>
      <c r="AF53" s="108">
        <f>AF50/T50*100</f>
        <v>0</v>
      </c>
      <c r="AG53" s="67">
        <f>(U53+W53+Y53+AE53)</f>
        <v>3</v>
      </c>
      <c r="AH53" s="64">
        <f>V53+X53+Z53+AF53</f>
        <v>211.18110236220474</v>
      </c>
      <c r="AI53" s="64"/>
      <c r="AJ53" s="64"/>
      <c r="AK53" s="64"/>
      <c r="AL53" s="64"/>
      <c r="AM53" s="64"/>
      <c r="AN53" s="64"/>
      <c r="AO53" s="68"/>
      <c r="AP53" s="68"/>
      <c r="AQ53" s="69">
        <f>SUM(AQ52:AQ52)/1</f>
        <v>0</v>
      </c>
      <c r="AR53" s="69">
        <f>SUM(AR52:AR52)/1</f>
        <v>0</v>
      </c>
      <c r="AS53" s="70"/>
    </row>
    <row r="54" spans="1:45" s="1" customFormat="1" ht="15" customHeight="1" x14ac:dyDescent="0.25">
      <c r="A54" s="529"/>
      <c r="B54" s="800"/>
      <c r="C54" s="756" t="s">
        <v>46</v>
      </c>
      <c r="D54" s="756"/>
      <c r="E54" s="756"/>
      <c r="F54" s="756"/>
      <c r="G54" s="756"/>
      <c r="H54" s="756"/>
      <c r="I54" s="756"/>
      <c r="J54" s="756"/>
      <c r="K54" s="756"/>
      <c r="L54" s="756"/>
      <c r="M54" s="756"/>
      <c r="N54" s="756"/>
      <c r="O54" s="756"/>
      <c r="P54" s="756"/>
      <c r="Q54" s="756"/>
      <c r="R54" s="756"/>
      <c r="S54" s="756"/>
      <c r="T54" s="799"/>
      <c r="U54" s="71" t="s">
        <v>52</v>
      </c>
      <c r="V54" s="71" t="s">
        <v>51</v>
      </c>
      <c r="W54" s="65" t="s">
        <v>52</v>
      </c>
      <c r="X54" s="71" t="s">
        <v>52</v>
      </c>
      <c r="Y54" s="67"/>
      <c r="Z54" s="71"/>
      <c r="AA54" s="71"/>
      <c r="AB54" s="71"/>
      <c r="AC54" s="71"/>
      <c r="AD54" s="71"/>
      <c r="AE54" s="71"/>
      <c r="AF54" s="72"/>
      <c r="AG54" s="67" t="s">
        <v>52</v>
      </c>
      <c r="AH54" s="71" t="s">
        <v>52</v>
      </c>
      <c r="AI54" s="71"/>
      <c r="AJ54" s="71"/>
      <c r="AK54" s="71"/>
      <c r="AL54" s="71"/>
      <c r="AM54" s="71"/>
      <c r="AN54" s="71"/>
      <c r="AO54" s="71"/>
      <c r="AP54" s="68"/>
      <c r="AQ54" s="68"/>
      <c r="AR54" s="68"/>
      <c r="AS54" s="70"/>
    </row>
    <row r="55" spans="1:45" s="1" customFormat="1" ht="28.5" customHeight="1" x14ac:dyDescent="0.25">
      <c r="A55" s="527" t="s">
        <v>38</v>
      </c>
      <c r="B55" s="800"/>
      <c r="C55" s="520" t="s">
        <v>151</v>
      </c>
      <c r="D55" s="5" t="s">
        <v>8</v>
      </c>
      <c r="E55" s="5" t="s">
        <v>504</v>
      </c>
      <c r="F55" s="24">
        <f>(F56+F57)/(F56+F57)*100</f>
        <v>100</v>
      </c>
      <c r="G55" s="98" t="s">
        <v>50</v>
      </c>
      <c r="H55" s="23">
        <f>SUM(H56:H57)</f>
        <v>361026</v>
      </c>
      <c r="I55" s="21"/>
      <c r="J55" s="21"/>
      <c r="K55" s="21"/>
      <c r="L55" s="21"/>
      <c r="M55" s="21"/>
      <c r="N55" s="23"/>
      <c r="O55" s="23"/>
      <c r="P55" s="23"/>
      <c r="Q55" s="23"/>
      <c r="R55" s="23">
        <f>R57</f>
        <v>20000</v>
      </c>
      <c r="S55" s="23"/>
      <c r="T55" s="23">
        <f>T57</f>
        <v>20000</v>
      </c>
      <c r="U55" s="611">
        <v>1</v>
      </c>
      <c r="V55" s="23">
        <f>V56</f>
        <v>25000</v>
      </c>
      <c r="W55" s="615">
        <v>1</v>
      </c>
      <c r="X55" s="23">
        <f>X56</f>
        <v>27000</v>
      </c>
      <c r="Y55" s="615">
        <v>1</v>
      </c>
      <c r="Z55" s="26">
        <f>SUM(Z56:Z57)</f>
        <v>111000</v>
      </c>
      <c r="AA55" s="615">
        <v>1</v>
      </c>
      <c r="AB55" s="26">
        <f>SUM(AB56:AB57)</f>
        <v>28000</v>
      </c>
      <c r="AC55" s="26">
        <f t="shared" ref="AC55:AD55" si="23">SUM(AC56:AC57)</f>
        <v>0</v>
      </c>
      <c r="AD55" s="26">
        <f t="shared" si="23"/>
        <v>0</v>
      </c>
      <c r="AE55" s="24"/>
      <c r="AF55" s="23"/>
      <c r="AG55" s="25"/>
      <c r="AH55" s="23"/>
      <c r="AI55" s="23"/>
      <c r="AJ55" s="23"/>
      <c r="AK55" s="23"/>
      <c r="AL55" s="23"/>
      <c r="AM55" s="23"/>
      <c r="AN55" s="23"/>
      <c r="AO55" s="99">
        <f>AO57</f>
        <v>0</v>
      </c>
      <c r="AP55" s="99">
        <f>SUM(AP56:AP57)</f>
        <v>0</v>
      </c>
      <c r="AQ55" s="100"/>
      <c r="AR55" s="100"/>
      <c r="AS55" s="101"/>
    </row>
    <row r="56" spans="1:45" s="1" customFormat="1" ht="25.5" x14ac:dyDescent="0.25">
      <c r="A56" s="530">
        <v>20</v>
      </c>
      <c r="B56" s="800"/>
      <c r="C56" s="521" t="s">
        <v>152</v>
      </c>
      <c r="D56" s="490" t="s">
        <v>455</v>
      </c>
      <c r="E56" s="109" t="s">
        <v>514</v>
      </c>
      <c r="F56" s="32">
        <v>34</v>
      </c>
      <c r="G56" s="33" t="s">
        <v>154</v>
      </c>
      <c r="H56" s="36">
        <v>321026</v>
      </c>
      <c r="I56" s="35" t="s">
        <v>526</v>
      </c>
      <c r="J56" s="35">
        <v>151250</v>
      </c>
      <c r="K56" s="35">
        <v>7</v>
      </c>
      <c r="L56" s="35">
        <v>28000</v>
      </c>
      <c r="M56" s="35">
        <v>15</v>
      </c>
      <c r="N56" s="36">
        <v>111776</v>
      </c>
      <c r="O56" s="36">
        <v>5</v>
      </c>
      <c r="P56" s="36">
        <v>30000</v>
      </c>
      <c r="Q56" s="36"/>
      <c r="R56" s="36"/>
      <c r="S56" s="110"/>
      <c r="T56" s="34"/>
      <c r="U56" s="88" t="s">
        <v>526</v>
      </c>
      <c r="V56" s="36">
        <v>25000</v>
      </c>
      <c r="W56" s="37" t="s">
        <v>526</v>
      </c>
      <c r="X56" s="36">
        <v>27000</v>
      </c>
      <c r="Y56" s="38" t="s">
        <v>539</v>
      </c>
      <c r="Z56" s="39">
        <v>111000</v>
      </c>
      <c r="AA56" s="39" t="s">
        <v>538</v>
      </c>
      <c r="AB56" s="39">
        <v>28000</v>
      </c>
      <c r="AC56" s="39"/>
      <c r="AD56" s="39"/>
      <c r="AE56" s="36"/>
      <c r="AF56" s="111"/>
      <c r="AG56" s="43"/>
      <c r="AH56" s="41">
        <f>(V56/J56)*100</f>
        <v>16.528925619834713</v>
      </c>
      <c r="AI56" s="41"/>
      <c r="AJ56" s="41">
        <f>(X56/L56)*100</f>
        <v>96.428571428571431</v>
      </c>
      <c r="AK56" s="41"/>
      <c r="AL56" s="41">
        <f>(Z56/N56)*100</f>
        <v>99.305754365874606</v>
      </c>
      <c r="AM56" s="41"/>
      <c r="AN56" s="41">
        <f>(AB56/P56)*100</f>
        <v>93.333333333333329</v>
      </c>
      <c r="AO56" s="42"/>
      <c r="AP56" s="42"/>
      <c r="AQ56" s="43"/>
      <c r="AR56" s="43"/>
      <c r="AS56" s="767"/>
    </row>
    <row r="57" spans="1:45" s="1" customFormat="1" ht="12.75" x14ac:dyDescent="0.25">
      <c r="A57" s="532"/>
      <c r="B57" s="800"/>
      <c r="C57" s="525"/>
      <c r="D57" s="490" t="s">
        <v>417</v>
      </c>
      <c r="E57" s="112"/>
      <c r="F57" s="49">
        <v>10</v>
      </c>
      <c r="G57" s="50" t="s">
        <v>154</v>
      </c>
      <c r="H57" s="53">
        <v>40000</v>
      </c>
      <c r="I57" s="52"/>
      <c r="J57" s="52"/>
      <c r="K57" s="52"/>
      <c r="L57" s="52"/>
      <c r="M57" s="52"/>
      <c r="N57" s="53"/>
      <c r="O57" s="53"/>
      <c r="P57" s="53"/>
      <c r="Q57" s="53">
        <v>5</v>
      </c>
      <c r="R57" s="53">
        <v>20000</v>
      </c>
      <c r="S57" s="104">
        <v>5</v>
      </c>
      <c r="T57" s="51">
        <v>20000</v>
      </c>
      <c r="U57" s="52"/>
      <c r="V57" s="53"/>
      <c r="W57" s="105"/>
      <c r="X57" s="53"/>
      <c r="Y57" s="56"/>
      <c r="Z57" s="61"/>
      <c r="AA57" s="61"/>
      <c r="AB57" s="61"/>
      <c r="AC57" s="61" t="s">
        <v>559</v>
      </c>
      <c r="AD57" s="61">
        <v>0</v>
      </c>
      <c r="AE57" s="53"/>
      <c r="AF57" s="111"/>
      <c r="AG57" s="59"/>
      <c r="AH57" s="41"/>
      <c r="AI57" s="57"/>
      <c r="AJ57" s="41"/>
      <c r="AK57" s="57"/>
      <c r="AL57" s="57"/>
      <c r="AM57" s="57"/>
      <c r="AN57" s="57"/>
      <c r="AO57" s="58"/>
      <c r="AP57" s="58">
        <f>AD57/R57*100</f>
        <v>0</v>
      </c>
      <c r="AQ57" s="59"/>
      <c r="AR57" s="59"/>
      <c r="AS57" s="769"/>
    </row>
    <row r="58" spans="1:45" s="1" customFormat="1" ht="15" customHeight="1" x14ac:dyDescent="0.25">
      <c r="A58" s="529"/>
      <c r="B58" s="800"/>
      <c r="C58" s="756" t="s">
        <v>45</v>
      </c>
      <c r="D58" s="756"/>
      <c r="E58" s="756"/>
      <c r="F58" s="756"/>
      <c r="G58" s="756"/>
      <c r="H58" s="756"/>
      <c r="I58" s="756"/>
      <c r="J58" s="756"/>
      <c r="K58" s="756"/>
      <c r="L58" s="756"/>
      <c r="M58" s="756"/>
      <c r="N58" s="756"/>
      <c r="O58" s="756"/>
      <c r="P58" s="756"/>
      <c r="Q58" s="756"/>
      <c r="R58" s="756"/>
      <c r="S58" s="756"/>
      <c r="T58" s="799"/>
      <c r="U58" s="612">
        <f>U55</f>
        <v>1</v>
      </c>
      <c r="V58" s="64">
        <f>V55/T55*100</f>
        <v>125</v>
      </c>
      <c r="W58" s="617">
        <f>W55</f>
        <v>1</v>
      </c>
      <c r="X58" s="66">
        <f>X55/T55*100</f>
        <v>135</v>
      </c>
      <c r="Y58" s="65">
        <f>Y55</f>
        <v>1</v>
      </c>
      <c r="Z58" s="66">
        <f>Z55/T55*100</f>
        <v>555</v>
      </c>
      <c r="AA58" s="66"/>
      <c r="AB58" s="66">
        <f>AB55/T55*100</f>
        <v>140</v>
      </c>
      <c r="AC58" s="66">
        <f t="shared" ref="AC58:AD58" si="24">AC55/U55*100</f>
        <v>0</v>
      </c>
      <c r="AD58" s="66">
        <f t="shared" si="24"/>
        <v>0</v>
      </c>
      <c r="AE58" s="65">
        <f>AE55</f>
        <v>0</v>
      </c>
      <c r="AF58" s="66">
        <f>AF55/T55*100</f>
        <v>0</v>
      </c>
      <c r="AG58" s="67">
        <f>(U58+W58+Y58+AE58)</f>
        <v>3</v>
      </c>
      <c r="AH58" s="66">
        <f>V58+X58+Z58+AF58</f>
        <v>815</v>
      </c>
      <c r="AI58" s="113"/>
      <c r="AJ58" s="113"/>
      <c r="AK58" s="113"/>
      <c r="AL58" s="113"/>
      <c r="AM58" s="113"/>
      <c r="AN58" s="113"/>
      <c r="AO58" s="114"/>
      <c r="AP58" s="114"/>
      <c r="AQ58" s="115">
        <f>SUM(AQ56:AQ57)/2</f>
        <v>0</v>
      </c>
      <c r="AR58" s="115">
        <f>SUM(AR56:AR57)/2</f>
        <v>0</v>
      </c>
      <c r="AS58" s="70"/>
    </row>
    <row r="59" spans="1:45" s="1" customFormat="1" ht="15" customHeight="1" x14ac:dyDescent="0.25">
      <c r="A59" s="529"/>
      <c r="B59" s="800"/>
      <c r="C59" s="756" t="s">
        <v>46</v>
      </c>
      <c r="D59" s="756"/>
      <c r="E59" s="756"/>
      <c r="F59" s="756"/>
      <c r="G59" s="756"/>
      <c r="H59" s="756"/>
      <c r="I59" s="756"/>
      <c r="J59" s="756"/>
      <c r="K59" s="756"/>
      <c r="L59" s="756"/>
      <c r="M59" s="756"/>
      <c r="N59" s="756"/>
      <c r="O59" s="756"/>
      <c r="P59" s="756"/>
      <c r="Q59" s="756"/>
      <c r="R59" s="756"/>
      <c r="S59" s="756"/>
      <c r="T59" s="799"/>
      <c r="U59" s="71"/>
      <c r="V59" s="71"/>
      <c r="W59" s="65" t="s">
        <v>51</v>
      </c>
      <c r="X59" s="71" t="s">
        <v>51</v>
      </c>
      <c r="Y59" s="67"/>
      <c r="Z59" s="71"/>
      <c r="AA59" s="71"/>
      <c r="AB59" s="71"/>
      <c r="AC59" s="71"/>
      <c r="AD59" s="71"/>
      <c r="AE59" s="71"/>
      <c r="AF59" s="71"/>
      <c r="AG59" s="71" t="s">
        <v>52</v>
      </c>
      <c r="AH59" s="71" t="s">
        <v>52</v>
      </c>
      <c r="AI59" s="71"/>
      <c r="AJ59" s="71"/>
      <c r="AK59" s="71"/>
      <c r="AL59" s="71"/>
      <c r="AM59" s="71"/>
      <c r="AN59" s="71"/>
      <c r="AO59" s="71"/>
      <c r="AP59" s="68"/>
      <c r="AQ59" s="68"/>
      <c r="AR59" s="68"/>
      <c r="AS59" s="70"/>
    </row>
    <row r="60" spans="1:45" s="1" customFormat="1" ht="24" customHeight="1" x14ac:dyDescent="0.25">
      <c r="A60" s="527" t="s">
        <v>492</v>
      </c>
      <c r="B60" s="800"/>
      <c r="C60" s="526" t="s">
        <v>3</v>
      </c>
      <c r="D60" s="119" t="s">
        <v>561</v>
      </c>
      <c r="E60" s="119" t="s">
        <v>504</v>
      </c>
      <c r="F60" s="24">
        <f>(F61+F64)/(F61+F64)*100</f>
        <v>100</v>
      </c>
      <c r="G60" s="98" t="s">
        <v>50</v>
      </c>
      <c r="H60" s="23">
        <f>SUM(H61:H64)</f>
        <v>78900</v>
      </c>
      <c r="I60" s="21">
        <f>(I61+I64)/(I61+I64)*100</f>
        <v>100</v>
      </c>
      <c r="J60" s="21">
        <f>SUM(J61:J64)</f>
        <v>20000</v>
      </c>
      <c r="K60" s="21">
        <f t="shared" ref="K60:N60" si="25">SUM(K61:K64)</f>
        <v>2</v>
      </c>
      <c r="L60" s="21">
        <f t="shared" si="25"/>
        <v>4900</v>
      </c>
      <c r="M60" s="21">
        <f t="shared" si="25"/>
        <v>2</v>
      </c>
      <c r="N60" s="21">
        <f t="shared" si="25"/>
        <v>13500</v>
      </c>
      <c r="O60" s="21">
        <f>SUM(O61:O64)</f>
        <v>4</v>
      </c>
      <c r="P60" s="21">
        <f t="shared" ref="P60" si="26">SUM(P61:P64)</f>
        <v>13500</v>
      </c>
      <c r="Q60" s="21">
        <f t="shared" ref="Q60" si="27">SUM(Q61:Q64)</f>
        <v>4</v>
      </c>
      <c r="R60" s="21">
        <f t="shared" ref="R60" si="28">SUM(R61:R64)</f>
        <v>13500</v>
      </c>
      <c r="S60" s="21">
        <f>SUM(S61:S64)</f>
        <v>5</v>
      </c>
      <c r="T60" s="21">
        <f t="shared" ref="T60" si="29">SUM(T61:T64)</f>
        <v>13500</v>
      </c>
      <c r="U60" s="611">
        <v>1</v>
      </c>
      <c r="V60" s="23">
        <f>SUM(V61:V64)</f>
        <v>13600</v>
      </c>
      <c r="W60" s="615">
        <v>1</v>
      </c>
      <c r="X60" s="23">
        <f>SUM(X61:X64)</f>
        <v>4900</v>
      </c>
      <c r="Y60" s="615">
        <v>1</v>
      </c>
      <c r="Z60" s="169">
        <f>SUM(Z61:Z64)</f>
        <v>13495</v>
      </c>
      <c r="AA60" s="615">
        <v>1</v>
      </c>
      <c r="AB60" s="169">
        <f>SUM(AB61:AB64)</f>
        <v>8500</v>
      </c>
      <c r="AC60" s="660">
        <v>1</v>
      </c>
      <c r="AD60" s="169">
        <f t="shared" ref="AD60" si="30">SUM(AD61:AD64)</f>
        <v>14000</v>
      </c>
      <c r="AE60" s="21">
        <f>(AE61+AE64)/(S61+S64)*100</f>
        <v>0</v>
      </c>
      <c r="AF60" s="23">
        <f>SUM(AF61:AF64)</f>
        <v>0</v>
      </c>
      <c r="AG60" s="25">
        <f>(AG61+AG64)/(S61+S64)*100</f>
        <v>0</v>
      </c>
      <c r="AH60" s="23">
        <f>SUM(AH61:AH64)</f>
        <v>136</v>
      </c>
      <c r="AI60" s="23"/>
      <c r="AJ60" s="23"/>
      <c r="AK60" s="23"/>
      <c r="AL60" s="23"/>
      <c r="AM60" s="23"/>
      <c r="AN60" s="23"/>
      <c r="AO60" s="121">
        <f>AO62+AO64</f>
        <v>0</v>
      </c>
      <c r="AP60" s="121">
        <f>SUM(AP61:AP64)</f>
        <v>103.7037037037037</v>
      </c>
      <c r="AQ60" s="122"/>
      <c r="AR60" s="122"/>
      <c r="AS60" s="123"/>
    </row>
    <row r="61" spans="1:45" s="1" customFormat="1" ht="25.5" x14ac:dyDescent="0.25">
      <c r="A61" s="530">
        <v>21</v>
      </c>
      <c r="B61" s="800"/>
      <c r="C61" s="523" t="s">
        <v>456</v>
      </c>
      <c r="D61" s="513" t="s">
        <v>458</v>
      </c>
      <c r="E61" s="86" t="s">
        <v>515</v>
      </c>
      <c r="F61" s="32">
        <v>18</v>
      </c>
      <c r="G61" s="33" t="s">
        <v>162</v>
      </c>
      <c r="H61" s="34">
        <v>41900</v>
      </c>
      <c r="I61" s="35">
        <v>2</v>
      </c>
      <c r="J61" s="554">
        <v>10000</v>
      </c>
      <c r="K61" s="554">
        <v>2</v>
      </c>
      <c r="L61" s="554">
        <v>4900</v>
      </c>
      <c r="M61" s="35">
        <v>2</v>
      </c>
      <c r="N61" s="36">
        <v>13500</v>
      </c>
      <c r="O61" s="36">
        <v>4</v>
      </c>
      <c r="P61" s="36">
        <v>13500</v>
      </c>
      <c r="Q61" s="36"/>
      <c r="R61" s="36"/>
      <c r="S61" s="88"/>
      <c r="T61" s="170"/>
      <c r="U61" s="88" t="s">
        <v>536</v>
      </c>
      <c r="V61" s="36">
        <v>4500</v>
      </c>
      <c r="W61" s="37" t="s">
        <v>536</v>
      </c>
      <c r="X61" s="36">
        <v>4900</v>
      </c>
      <c r="Y61" s="38" t="s">
        <v>536</v>
      </c>
      <c r="Z61" s="39">
        <v>13495</v>
      </c>
      <c r="AA61" s="39" t="s">
        <v>540</v>
      </c>
      <c r="AB61" s="39">
        <v>8500</v>
      </c>
      <c r="AC61" s="39"/>
      <c r="AD61" s="39"/>
      <c r="AE61" s="171"/>
      <c r="AF61" s="138"/>
      <c r="AG61" s="43"/>
      <c r="AH61" s="41">
        <f>(V61/J61)*100</f>
        <v>45</v>
      </c>
      <c r="AI61" s="41"/>
      <c r="AJ61" s="41">
        <f>(X61/L61)*100</f>
        <v>100</v>
      </c>
      <c r="AK61" s="41"/>
      <c r="AL61" s="41">
        <f>(Z61/N61)*100</f>
        <v>99.962962962962962</v>
      </c>
      <c r="AM61" s="41"/>
      <c r="AN61" s="41">
        <f>(AB61/N61)*100</f>
        <v>62.962962962962962</v>
      </c>
      <c r="AO61" s="42"/>
      <c r="AP61" s="42"/>
      <c r="AQ61" s="43"/>
      <c r="AR61" s="43"/>
      <c r="AS61" s="779"/>
    </row>
    <row r="62" spans="1:45" s="1" customFormat="1" ht="15" customHeight="1" x14ac:dyDescent="0.25">
      <c r="A62" s="533"/>
      <c r="B62" s="800"/>
      <c r="C62" s="523"/>
      <c r="D62" s="513" t="s">
        <v>459</v>
      </c>
      <c r="E62" s="501"/>
      <c r="F62" s="502"/>
      <c r="G62" s="503"/>
      <c r="H62" s="504">
        <v>19000</v>
      </c>
      <c r="I62" s="91"/>
      <c r="J62" s="91"/>
      <c r="K62" s="91"/>
      <c r="L62" s="91"/>
      <c r="M62" s="91"/>
      <c r="N62" s="54"/>
      <c r="O62" s="54"/>
      <c r="P62" s="54"/>
      <c r="Q62" s="54">
        <v>4</v>
      </c>
      <c r="R62" s="54">
        <v>13500</v>
      </c>
      <c r="S62" s="505">
        <v>4</v>
      </c>
      <c r="T62" s="506">
        <v>5500</v>
      </c>
      <c r="U62" s="505"/>
      <c r="V62" s="54"/>
      <c r="W62" s="507"/>
      <c r="X62" s="54"/>
      <c r="Y62" s="508"/>
      <c r="Z62" s="62"/>
      <c r="AA62" s="62"/>
      <c r="AB62" s="62"/>
      <c r="AC62" s="62" t="s">
        <v>560</v>
      </c>
      <c r="AD62" s="62">
        <v>14000</v>
      </c>
      <c r="AE62" s="509"/>
      <c r="AF62" s="510"/>
      <c r="AG62" s="511"/>
      <c r="AH62" s="41"/>
      <c r="AI62" s="94"/>
      <c r="AJ62" s="41"/>
      <c r="AK62" s="94"/>
      <c r="AL62" s="94"/>
      <c r="AM62" s="94"/>
      <c r="AN62" s="41"/>
      <c r="AO62" s="512"/>
      <c r="AP62" s="512">
        <f>AD62/R62*100</f>
        <v>103.7037037037037</v>
      </c>
      <c r="AQ62" s="511"/>
      <c r="AR62" s="511"/>
      <c r="AS62" s="814"/>
    </row>
    <row r="63" spans="1:45" s="1" customFormat="1" ht="25.5" x14ac:dyDescent="0.25">
      <c r="A63" s="533">
        <v>22</v>
      </c>
      <c r="B63" s="800"/>
      <c r="C63" s="523" t="s">
        <v>457</v>
      </c>
      <c r="D63" s="513" t="s">
        <v>460</v>
      </c>
      <c r="E63" s="501" t="s">
        <v>516</v>
      </c>
      <c r="F63" s="502">
        <v>1</v>
      </c>
      <c r="G63" s="33" t="s">
        <v>162</v>
      </c>
      <c r="H63" s="504">
        <v>10000</v>
      </c>
      <c r="I63" s="91"/>
      <c r="J63" s="555">
        <v>10000</v>
      </c>
      <c r="K63" s="91"/>
      <c r="L63" s="91"/>
      <c r="M63" s="91"/>
      <c r="N63" s="54"/>
      <c r="O63" s="54"/>
      <c r="P63" s="54"/>
      <c r="Q63" s="54"/>
      <c r="R63" s="54"/>
      <c r="S63" s="505"/>
      <c r="T63" s="506"/>
      <c r="U63" s="505" t="s">
        <v>531</v>
      </c>
      <c r="V63" s="54">
        <v>9100</v>
      </c>
      <c r="W63" s="507"/>
      <c r="X63" s="54"/>
      <c r="Y63" s="508"/>
      <c r="Z63" s="62"/>
      <c r="AA63" s="62"/>
      <c r="AB63" s="62"/>
      <c r="AC63" s="62"/>
      <c r="AD63" s="62"/>
      <c r="AE63" s="509"/>
      <c r="AF63" s="510"/>
      <c r="AG63" s="511"/>
      <c r="AH63" s="41">
        <f t="shared" ref="AH63" si="31">(V63/J63)*100</f>
        <v>91</v>
      </c>
      <c r="AI63" s="94"/>
      <c r="AJ63" s="41"/>
      <c r="AK63" s="94"/>
      <c r="AL63" s="94"/>
      <c r="AM63" s="94"/>
      <c r="AN63" s="41"/>
      <c r="AO63" s="512"/>
      <c r="AP63" s="512"/>
      <c r="AQ63" s="511"/>
      <c r="AR63" s="511"/>
      <c r="AS63" s="814"/>
    </row>
    <row r="64" spans="1:45" s="1" customFormat="1" ht="15" customHeight="1" x14ac:dyDescent="0.25">
      <c r="A64" s="532"/>
      <c r="B64" s="800"/>
      <c r="C64" s="523"/>
      <c r="D64" s="513" t="s">
        <v>459</v>
      </c>
      <c r="E64" s="90"/>
      <c r="F64" s="49"/>
      <c r="G64" s="50"/>
      <c r="H64" s="51">
        <v>8000</v>
      </c>
      <c r="I64" s="52"/>
      <c r="J64" s="52"/>
      <c r="K64" s="52"/>
      <c r="L64" s="52"/>
      <c r="M64" s="52"/>
      <c r="N64" s="53"/>
      <c r="O64" s="53"/>
      <c r="P64" s="53"/>
      <c r="Q64" s="53"/>
      <c r="R64" s="53"/>
      <c r="S64" s="104">
        <v>1</v>
      </c>
      <c r="T64" s="51">
        <v>8000</v>
      </c>
      <c r="U64" s="52"/>
      <c r="V64" s="53"/>
      <c r="W64" s="60"/>
      <c r="X64" s="53"/>
      <c r="Y64" s="56"/>
      <c r="Z64" s="61"/>
      <c r="AA64" s="61"/>
      <c r="AB64" s="61"/>
      <c r="AC64" s="61"/>
      <c r="AD64" s="61"/>
      <c r="AE64" s="53"/>
      <c r="AF64" s="106"/>
      <c r="AG64" s="59"/>
      <c r="AH64" s="41"/>
      <c r="AI64" s="57"/>
      <c r="AJ64" s="41"/>
      <c r="AK64" s="57"/>
      <c r="AL64" s="57"/>
      <c r="AM64" s="57"/>
      <c r="AN64" s="41"/>
      <c r="AO64" s="58"/>
      <c r="AP64" s="58"/>
      <c r="AQ64" s="59"/>
      <c r="AR64" s="59"/>
      <c r="AS64" s="780"/>
    </row>
    <row r="65" spans="1:46" s="1" customFormat="1" ht="12.75" x14ac:dyDescent="0.25">
      <c r="A65" s="534"/>
      <c r="B65" s="800"/>
      <c r="C65" s="756" t="s">
        <v>45</v>
      </c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756"/>
      <c r="P65" s="756"/>
      <c r="Q65" s="756"/>
      <c r="R65" s="756"/>
      <c r="S65" s="756"/>
      <c r="T65" s="799"/>
      <c r="U65" s="612">
        <f>U60</f>
        <v>1</v>
      </c>
      <c r="V65" s="64">
        <f>V60/T60*100</f>
        <v>100.74074074074073</v>
      </c>
      <c r="W65" s="617">
        <f>W60</f>
        <v>1</v>
      </c>
      <c r="X65" s="66">
        <f>X60/T60*100</f>
        <v>36.296296296296298</v>
      </c>
      <c r="Y65" s="67">
        <f>Y60</f>
        <v>1</v>
      </c>
      <c r="Z65" s="66">
        <f>Z60/T60*100</f>
        <v>99.962962962962962</v>
      </c>
      <c r="AA65" s="66"/>
      <c r="AB65" s="66">
        <f>AB60/T60*100</f>
        <v>62.962962962962962</v>
      </c>
      <c r="AC65" s="66">
        <f>AC60/U60*100</f>
        <v>100</v>
      </c>
      <c r="AD65" s="66">
        <f>AD60/V60*100</f>
        <v>102.94117647058823</v>
      </c>
      <c r="AE65" s="66">
        <f>AE60</f>
        <v>0</v>
      </c>
      <c r="AF65" s="65">
        <f>AF60/T60*100</f>
        <v>0</v>
      </c>
      <c r="AG65" s="67">
        <f>(U65+W65+Y65+AE65)</f>
        <v>3</v>
      </c>
      <c r="AH65" s="66">
        <f>V65+X65+Z65+AF65</f>
        <v>237</v>
      </c>
      <c r="AI65" s="113"/>
      <c r="AJ65" s="113"/>
      <c r="AK65" s="113"/>
      <c r="AL65" s="113"/>
      <c r="AM65" s="113"/>
      <c r="AN65" s="113"/>
      <c r="AO65" s="114"/>
      <c r="AP65" s="114"/>
      <c r="AQ65" s="115">
        <f>SUM(AQ61:AQ64)/2</f>
        <v>0</v>
      </c>
      <c r="AR65" s="115">
        <f>SUM(AR61:AR64)/2</f>
        <v>0</v>
      </c>
      <c r="AS65" s="70"/>
    </row>
    <row r="66" spans="1:46" s="172" customFormat="1" ht="12.75" x14ac:dyDescent="0.25">
      <c r="A66" s="534"/>
      <c r="B66" s="801"/>
      <c r="C66" s="756" t="s">
        <v>46</v>
      </c>
      <c r="D66" s="756"/>
      <c r="E66" s="756"/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756"/>
      <c r="R66" s="756"/>
      <c r="S66" s="756"/>
      <c r="T66" s="799"/>
      <c r="U66" s="71"/>
      <c r="V66" s="71"/>
      <c r="W66" s="65" t="s">
        <v>51</v>
      </c>
      <c r="X66" s="71" t="s">
        <v>52</v>
      </c>
      <c r="Y66" s="67"/>
      <c r="Z66" s="71"/>
      <c r="AA66" s="71"/>
      <c r="AB66" s="71"/>
      <c r="AC66" s="71"/>
      <c r="AD66" s="71"/>
      <c r="AE66" s="71" t="s">
        <v>52</v>
      </c>
      <c r="AF66" s="71" t="s">
        <v>52</v>
      </c>
      <c r="AG66" s="71" t="s">
        <v>52</v>
      </c>
      <c r="AH66" s="71" t="s">
        <v>52</v>
      </c>
      <c r="AI66" s="71"/>
      <c r="AJ66" s="71"/>
      <c r="AK66" s="71"/>
      <c r="AL66" s="71"/>
      <c r="AM66" s="71"/>
      <c r="AN66" s="71"/>
      <c r="AO66" s="71"/>
      <c r="AP66" s="68"/>
      <c r="AQ66" s="68"/>
      <c r="AR66" s="68"/>
      <c r="AS66" s="70"/>
    </row>
    <row r="67" spans="1:46" s="172" customFormat="1" ht="89.25" customHeight="1" x14ac:dyDescent="0.25">
      <c r="A67" s="116" t="s">
        <v>493</v>
      </c>
      <c r="B67" s="821" t="s">
        <v>381</v>
      </c>
      <c r="C67" s="20" t="s">
        <v>461</v>
      </c>
      <c r="D67" s="5" t="s">
        <v>462</v>
      </c>
      <c r="E67" s="815" t="s">
        <v>504</v>
      </c>
      <c r="F67" s="808">
        <f>(SUM(F69:F74)/SUM(F69:F74))*100</f>
        <v>100</v>
      </c>
      <c r="G67" s="667" t="s">
        <v>50</v>
      </c>
      <c r="H67" s="812">
        <f>SUM(H69:H74)</f>
        <v>2784001</v>
      </c>
      <c r="I67" s="808">
        <f>(SUM(I69:I74)/SUM(I69:I74))*100</f>
        <v>100</v>
      </c>
      <c r="J67" s="810">
        <f>SUM(J69:J74)</f>
        <v>494262</v>
      </c>
      <c r="K67" s="810">
        <f>SUM(K69:K72)</f>
        <v>1</v>
      </c>
      <c r="L67" s="810">
        <f>SUM(L69:L72)</f>
        <v>162800</v>
      </c>
      <c r="M67" s="810">
        <f>SUM(M69:M72)</f>
        <v>3</v>
      </c>
      <c r="N67" s="812">
        <f>SUM(N69:N74)</f>
        <v>453900</v>
      </c>
      <c r="O67" s="810">
        <f>SUM(O69:O72)</f>
        <v>2</v>
      </c>
      <c r="P67" s="810">
        <f>SUM(P69:P72)</f>
        <v>733039.5</v>
      </c>
      <c r="Q67" s="810">
        <f t="shared" ref="Q67" si="32">SUM(Q69:Q72)</f>
        <v>4</v>
      </c>
      <c r="R67" s="810">
        <f>SUM(R69:R74)</f>
        <v>700000</v>
      </c>
      <c r="S67" s="808">
        <f>(SUM(S69:S74)/SUM(S69:S74))*100</f>
        <v>100</v>
      </c>
      <c r="T67" s="812">
        <f>SUM(T69:T74)</f>
        <v>700000</v>
      </c>
      <c r="U67" s="661">
        <v>1</v>
      </c>
      <c r="V67" s="662">
        <f>SUM(V69:V74)</f>
        <v>265622</v>
      </c>
      <c r="W67" s="618">
        <v>1</v>
      </c>
      <c r="X67" s="662">
        <f>SUM(X69:X74)</f>
        <v>160270</v>
      </c>
      <c r="Y67" s="618">
        <v>1</v>
      </c>
      <c r="Z67" s="663">
        <f>SUM(Z69:Z74)</f>
        <v>412155</v>
      </c>
      <c r="AA67" s="618">
        <v>1</v>
      </c>
      <c r="AB67" s="663">
        <f>SUM(AB69:AB74)</f>
        <v>821871</v>
      </c>
      <c r="AC67" s="618">
        <v>1</v>
      </c>
      <c r="AD67" s="663">
        <f t="shared" ref="AD67" si="33">SUM(AD69:AD74)</f>
        <v>102641</v>
      </c>
      <c r="AE67" s="73">
        <f>(SUM(AE69:AE74)/SUM(S69:S74))*100</f>
        <v>0</v>
      </c>
      <c r="AF67" s="176">
        <f>SUM(AF69:AF74)</f>
        <v>0</v>
      </c>
      <c r="AG67" s="177">
        <f>U67+W67+Y67+AE67</f>
        <v>3</v>
      </c>
      <c r="AH67" s="75">
        <f>SUM(AH69:AH74)</f>
        <v>165.50701242437412</v>
      </c>
      <c r="AI67" s="75"/>
      <c r="AJ67" s="75"/>
      <c r="AK67" s="75"/>
      <c r="AL67" s="75"/>
      <c r="AM67" s="75"/>
      <c r="AN67" s="75"/>
      <c r="AO67" s="99">
        <f>AO70+AO72+AO74</f>
        <v>0</v>
      </c>
      <c r="AP67" s="99">
        <f>SUM(AP69:AP74)</f>
        <v>43.768079710144924</v>
      </c>
      <c r="AQ67" s="100"/>
      <c r="AR67" s="100"/>
      <c r="AS67" s="101"/>
    </row>
    <row r="68" spans="1:46" s="172" customFormat="1" ht="15" customHeight="1" x14ac:dyDescent="0.25">
      <c r="A68" s="124"/>
      <c r="B68" s="822"/>
      <c r="C68" s="180"/>
      <c r="D68" s="181"/>
      <c r="E68" s="816"/>
      <c r="F68" s="809"/>
      <c r="G68" s="668"/>
      <c r="H68" s="813"/>
      <c r="I68" s="809"/>
      <c r="J68" s="811"/>
      <c r="K68" s="811"/>
      <c r="L68" s="811"/>
      <c r="M68" s="811"/>
      <c r="N68" s="813"/>
      <c r="O68" s="811"/>
      <c r="P68" s="811"/>
      <c r="Q68" s="811"/>
      <c r="R68" s="811"/>
      <c r="S68" s="809"/>
      <c r="T68" s="813"/>
      <c r="U68" s="664"/>
      <c r="V68" s="665"/>
      <c r="W68" s="187"/>
      <c r="X68" s="665"/>
      <c r="Y68" s="187"/>
      <c r="Z68" s="666"/>
      <c r="AA68" s="666"/>
      <c r="AB68" s="666"/>
      <c r="AC68" s="666"/>
      <c r="AD68" s="666"/>
      <c r="AE68" s="182"/>
      <c r="AF68" s="189"/>
      <c r="AG68" s="190"/>
      <c r="AH68" s="184"/>
      <c r="AI68" s="184"/>
      <c r="AJ68" s="184"/>
      <c r="AK68" s="184"/>
      <c r="AL68" s="184"/>
      <c r="AM68" s="184"/>
      <c r="AN68" s="184"/>
      <c r="AO68" s="191"/>
      <c r="AP68" s="191"/>
      <c r="AQ68" s="192"/>
      <c r="AR68" s="192"/>
      <c r="AS68" s="193"/>
    </row>
    <row r="69" spans="1:46" s="172" customFormat="1" ht="24" customHeight="1" x14ac:dyDescent="0.25">
      <c r="A69" s="528">
        <v>23</v>
      </c>
      <c r="B69" s="802"/>
      <c r="C69" s="514" t="s">
        <v>463</v>
      </c>
      <c r="D69" s="514" t="s">
        <v>466</v>
      </c>
      <c r="E69" s="86" t="s">
        <v>518</v>
      </c>
      <c r="F69" s="171">
        <v>4</v>
      </c>
      <c r="G69" s="45" t="s">
        <v>520</v>
      </c>
      <c r="H69" s="34">
        <v>1065965</v>
      </c>
      <c r="I69" s="35">
        <v>1</v>
      </c>
      <c r="J69" s="554">
        <v>170665</v>
      </c>
      <c r="K69" s="554">
        <v>1</v>
      </c>
      <c r="L69" s="554">
        <v>162800</v>
      </c>
      <c r="M69" s="554">
        <v>1</v>
      </c>
      <c r="N69" s="556">
        <v>150000</v>
      </c>
      <c r="O69" s="556">
        <v>1</v>
      </c>
      <c r="P69" s="556">
        <v>582500</v>
      </c>
      <c r="Q69" s="556"/>
      <c r="R69" s="556"/>
      <c r="S69" s="554"/>
      <c r="T69" s="556"/>
      <c r="U69" s="88" t="s">
        <v>533</v>
      </c>
      <c r="V69" s="36">
        <v>170665</v>
      </c>
      <c r="W69" s="37" t="s">
        <v>533</v>
      </c>
      <c r="X69" s="36">
        <v>160270</v>
      </c>
      <c r="Y69" s="38" t="s">
        <v>533</v>
      </c>
      <c r="Z69" s="39">
        <v>149892</v>
      </c>
      <c r="AA69" s="39" t="s">
        <v>533</v>
      </c>
      <c r="AB69" s="39">
        <v>601086</v>
      </c>
      <c r="AC69" s="39"/>
      <c r="AD69" s="39"/>
      <c r="AE69" s="171"/>
      <c r="AF69" s="40"/>
      <c r="AG69" s="38"/>
      <c r="AH69" s="41">
        <f>(V69/J69)*100</f>
        <v>100</v>
      </c>
      <c r="AI69" s="41"/>
      <c r="AJ69" s="41">
        <f>(X69/L69)*100</f>
        <v>98.445945945945951</v>
      </c>
      <c r="AK69" s="41"/>
      <c r="AL69" s="41">
        <f>(Z69/N69)*100</f>
        <v>99.927999999999997</v>
      </c>
      <c r="AM69" s="41"/>
      <c r="AN69" s="41">
        <f>(AB69/P69)*100</f>
        <v>103.19072961373391</v>
      </c>
      <c r="AO69" s="42"/>
      <c r="AP69" s="42"/>
      <c r="AQ69" s="43"/>
      <c r="AR69" s="43"/>
      <c r="AS69" s="195"/>
    </row>
    <row r="70" spans="1:46" s="172" customFormat="1" ht="24" customHeight="1" x14ac:dyDescent="0.25">
      <c r="A70" s="528"/>
      <c r="B70" s="803"/>
      <c r="C70" s="194"/>
      <c r="D70" s="514" t="s">
        <v>467</v>
      </c>
      <c r="E70" s="86"/>
      <c r="F70" s="171">
        <v>4</v>
      </c>
      <c r="G70" s="45" t="s">
        <v>520</v>
      </c>
      <c r="H70" s="34">
        <v>480000</v>
      </c>
      <c r="I70" s="35"/>
      <c r="J70" s="554"/>
      <c r="K70" s="554"/>
      <c r="L70" s="554"/>
      <c r="M70" s="554"/>
      <c r="N70" s="556"/>
      <c r="O70" s="556"/>
      <c r="P70" s="556"/>
      <c r="Q70" s="556">
        <v>2</v>
      </c>
      <c r="R70" s="556">
        <v>240000</v>
      </c>
      <c r="S70" s="554">
        <v>2</v>
      </c>
      <c r="T70" s="556">
        <v>240000</v>
      </c>
      <c r="U70" s="88"/>
      <c r="V70" s="36"/>
      <c r="W70" s="37"/>
      <c r="X70" s="36"/>
      <c r="Y70" s="38"/>
      <c r="Z70" s="39"/>
      <c r="AA70" s="39"/>
      <c r="AB70" s="39"/>
      <c r="AC70" s="39" t="s">
        <v>533</v>
      </c>
      <c r="AD70" s="39">
        <v>47386</v>
      </c>
      <c r="AE70" s="171"/>
      <c r="AF70" s="40"/>
      <c r="AG70" s="43"/>
      <c r="AH70" s="41"/>
      <c r="AI70" s="41"/>
      <c r="AJ70" s="41"/>
      <c r="AK70" s="41"/>
      <c r="AL70" s="41"/>
      <c r="AM70" s="41"/>
      <c r="AN70" s="41"/>
      <c r="AO70" s="42"/>
      <c r="AP70" s="42">
        <f>AD70/R70*100</f>
        <v>19.744166666666665</v>
      </c>
      <c r="AQ70" s="43"/>
      <c r="AR70" s="43"/>
      <c r="AS70" s="195"/>
    </row>
    <row r="71" spans="1:46" s="172" customFormat="1" ht="24" customHeight="1" x14ac:dyDescent="0.25">
      <c r="A71" s="528">
        <v>24</v>
      </c>
      <c r="B71" s="803"/>
      <c r="C71" s="515" t="s">
        <v>464</v>
      </c>
      <c r="D71" s="514" t="s">
        <v>468</v>
      </c>
      <c r="E71" s="86" t="s">
        <v>517</v>
      </c>
      <c r="F71" s="32">
        <v>3</v>
      </c>
      <c r="G71" s="45" t="s">
        <v>520</v>
      </c>
      <c r="H71" s="34">
        <v>599396</v>
      </c>
      <c r="I71" s="35">
        <v>0</v>
      </c>
      <c r="J71" s="554">
        <v>144957</v>
      </c>
      <c r="K71" s="554">
        <v>0</v>
      </c>
      <c r="L71" s="554">
        <v>0</v>
      </c>
      <c r="M71" s="554">
        <v>2</v>
      </c>
      <c r="N71" s="556">
        <v>303900</v>
      </c>
      <c r="O71" s="556">
        <v>1</v>
      </c>
      <c r="P71" s="556">
        <v>150539.5</v>
      </c>
      <c r="Q71" s="556"/>
      <c r="R71" s="556"/>
      <c r="S71" s="554"/>
      <c r="T71" s="556"/>
      <c r="U71" s="88" t="s">
        <v>533</v>
      </c>
      <c r="V71" s="36">
        <v>94957</v>
      </c>
      <c r="W71" s="37"/>
      <c r="X71" s="36"/>
      <c r="Y71" s="38" t="s">
        <v>519</v>
      </c>
      <c r="Z71" s="39">
        <f>125516+136747</f>
        <v>262263</v>
      </c>
      <c r="AA71" s="39" t="s">
        <v>533</v>
      </c>
      <c r="AB71" s="39">
        <v>220785</v>
      </c>
      <c r="AC71" s="39"/>
      <c r="AD71" s="39"/>
      <c r="AE71" s="171"/>
      <c r="AF71" s="40"/>
      <c r="AG71" s="43"/>
      <c r="AH71" s="41">
        <f t="shared" ref="AH71:AH73" si="34">(V71/J71)*100</f>
        <v>65.507012424374125</v>
      </c>
      <c r="AI71" s="41"/>
      <c r="AJ71" s="41"/>
      <c r="AK71" s="41"/>
      <c r="AL71" s="41">
        <f>(Z71/N71)*100</f>
        <v>86.299111549851929</v>
      </c>
      <c r="AM71" s="41"/>
      <c r="AN71" s="41">
        <f t="shared" ref="AN71" si="35">(AB71/P71)*100</f>
        <v>146.66250386111287</v>
      </c>
      <c r="AO71" s="42"/>
      <c r="AP71" s="42"/>
      <c r="AQ71" s="43"/>
      <c r="AR71" s="43"/>
      <c r="AS71" s="767"/>
    </row>
    <row r="72" spans="1:46" s="172" customFormat="1" ht="24" customHeight="1" x14ac:dyDescent="0.25">
      <c r="A72" s="528"/>
      <c r="B72" s="803"/>
      <c r="C72" s="194"/>
      <c r="D72" s="515" t="s">
        <v>469</v>
      </c>
      <c r="E72" s="86"/>
      <c r="F72" s="32">
        <v>4</v>
      </c>
      <c r="G72" s="45" t="s">
        <v>520</v>
      </c>
      <c r="H72" s="34">
        <v>460000</v>
      </c>
      <c r="I72" s="35"/>
      <c r="J72" s="554"/>
      <c r="K72" s="554"/>
      <c r="L72" s="554"/>
      <c r="M72" s="554"/>
      <c r="N72" s="556"/>
      <c r="O72" s="556"/>
      <c r="P72" s="556"/>
      <c r="Q72" s="556">
        <v>2</v>
      </c>
      <c r="R72" s="556">
        <v>230000</v>
      </c>
      <c r="S72" s="557">
        <v>2</v>
      </c>
      <c r="T72" s="556">
        <v>230000</v>
      </c>
      <c r="U72" s="88"/>
      <c r="V72" s="36"/>
      <c r="W72" s="89"/>
      <c r="X72" s="36"/>
      <c r="Y72" s="38"/>
      <c r="Z72" s="39"/>
      <c r="AA72" s="39"/>
      <c r="AB72" s="39"/>
      <c r="AC72" s="39" t="s">
        <v>519</v>
      </c>
      <c r="AD72" s="39">
        <v>25235</v>
      </c>
      <c r="AE72" s="36"/>
      <c r="AF72" s="40"/>
      <c r="AG72" s="43"/>
      <c r="AH72" s="41"/>
      <c r="AI72" s="41"/>
      <c r="AJ72" s="41"/>
      <c r="AK72" s="41"/>
      <c r="AL72" s="41"/>
      <c r="AM72" s="41"/>
      <c r="AN72" s="41"/>
      <c r="AO72" s="42"/>
      <c r="AP72" s="42">
        <f>AD72/R72*100</f>
        <v>10.971739130434782</v>
      </c>
      <c r="AQ72" s="43"/>
      <c r="AR72" s="43"/>
      <c r="AS72" s="768"/>
    </row>
    <row r="73" spans="1:46" s="172" customFormat="1" ht="24" customHeight="1" x14ac:dyDescent="0.25">
      <c r="A73" s="528">
        <v>25</v>
      </c>
      <c r="B73" s="803"/>
      <c r="C73" s="491" t="s">
        <v>465</v>
      </c>
      <c r="D73" s="514" t="s">
        <v>470</v>
      </c>
      <c r="E73" s="86" t="s">
        <v>519</v>
      </c>
      <c r="F73" s="32">
        <v>0</v>
      </c>
      <c r="G73" s="45" t="s">
        <v>520</v>
      </c>
      <c r="H73" s="34">
        <v>178640</v>
      </c>
      <c r="I73" s="35"/>
      <c r="J73" s="554">
        <v>178640</v>
      </c>
      <c r="K73" s="554"/>
      <c r="L73" s="554"/>
      <c r="M73" s="554"/>
      <c r="N73" s="556"/>
      <c r="O73" s="556"/>
      <c r="P73" s="556"/>
      <c r="Q73" s="556"/>
      <c r="R73" s="556"/>
      <c r="S73" s="557"/>
      <c r="T73" s="556"/>
      <c r="U73" s="35"/>
      <c r="V73" s="36"/>
      <c r="W73" s="89"/>
      <c r="X73" s="36"/>
      <c r="Y73" s="38"/>
      <c r="Z73" s="39"/>
      <c r="AA73" s="39"/>
      <c r="AB73" s="39"/>
      <c r="AC73" s="39"/>
      <c r="AD73" s="39"/>
      <c r="AE73" s="36"/>
      <c r="AF73" s="40"/>
      <c r="AG73" s="43"/>
      <c r="AH73" s="41">
        <f t="shared" si="34"/>
        <v>0</v>
      </c>
      <c r="AI73" s="41"/>
      <c r="AJ73" s="41"/>
      <c r="AK73" s="41"/>
      <c r="AL73" s="41"/>
      <c r="AM73" s="41"/>
      <c r="AN73" s="41"/>
      <c r="AO73" s="42"/>
      <c r="AP73" s="42"/>
      <c r="AQ73" s="43"/>
      <c r="AR73" s="43"/>
      <c r="AS73" s="768"/>
    </row>
    <row r="74" spans="1:46" s="172" customFormat="1" ht="24" customHeight="1" x14ac:dyDescent="0.25">
      <c r="A74" s="528"/>
      <c r="B74" s="803"/>
      <c r="C74" s="566"/>
      <c r="D74" s="514" t="s">
        <v>471</v>
      </c>
      <c r="E74" s="86"/>
      <c r="F74" s="32"/>
      <c r="G74" s="45"/>
      <c r="H74" s="34">
        <v>0</v>
      </c>
      <c r="I74" s="35"/>
      <c r="J74" s="554"/>
      <c r="K74" s="554"/>
      <c r="L74" s="554"/>
      <c r="M74" s="554"/>
      <c r="N74" s="556"/>
      <c r="O74" s="556"/>
      <c r="P74" s="556"/>
      <c r="Q74" s="568">
        <v>1</v>
      </c>
      <c r="R74" s="568">
        <v>230000</v>
      </c>
      <c r="S74" s="569">
        <v>1</v>
      </c>
      <c r="T74" s="556">
        <v>230000</v>
      </c>
      <c r="U74" s="88"/>
      <c r="V74" s="36"/>
      <c r="W74" s="89"/>
      <c r="X74" s="36"/>
      <c r="Y74" s="38"/>
      <c r="Z74" s="39"/>
      <c r="AA74" s="39"/>
      <c r="AB74" s="39"/>
      <c r="AC74" s="39" t="s">
        <v>533</v>
      </c>
      <c r="AD74" s="39">
        <v>30020</v>
      </c>
      <c r="AE74" s="36"/>
      <c r="AF74" s="40"/>
      <c r="AG74" s="43"/>
      <c r="AH74" s="41"/>
      <c r="AI74" s="41"/>
      <c r="AJ74" s="41"/>
      <c r="AK74" s="41"/>
      <c r="AL74" s="41"/>
      <c r="AM74" s="41"/>
      <c r="AN74" s="41"/>
      <c r="AO74" s="42"/>
      <c r="AP74" s="42">
        <f>AD74/R74*100</f>
        <v>13.052173913043477</v>
      </c>
      <c r="AQ74" s="43"/>
      <c r="AR74" s="43"/>
      <c r="AS74" s="768"/>
    </row>
    <row r="75" spans="1:46" s="1" customFormat="1" ht="15" customHeight="1" x14ac:dyDescent="0.25">
      <c r="A75" s="535"/>
      <c r="B75" s="803"/>
      <c r="C75" s="755" t="s">
        <v>45</v>
      </c>
      <c r="D75" s="756"/>
      <c r="E75" s="756"/>
      <c r="F75" s="756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799"/>
      <c r="U75" s="63">
        <v>0</v>
      </c>
      <c r="V75" s="64">
        <f>V67/T67*100</f>
        <v>37.946000000000005</v>
      </c>
      <c r="W75" s="617">
        <v>0</v>
      </c>
      <c r="X75" s="66">
        <f>X67/T67*100</f>
        <v>22.895714285714284</v>
      </c>
      <c r="Y75" s="65">
        <f>Y67</f>
        <v>1</v>
      </c>
      <c r="Z75" s="66">
        <f>Z67/T67*100</f>
        <v>58.879285714285714</v>
      </c>
      <c r="AA75" s="66">
        <f t="shared" ref="AA75:AB75" si="36">AA67/S67*100</f>
        <v>1</v>
      </c>
      <c r="AB75" s="66">
        <f t="shared" si="36"/>
        <v>117.41014285714286</v>
      </c>
      <c r="AC75" s="66">
        <f t="shared" ref="AC75:AD75" si="37">AC67/U67*100</f>
        <v>100</v>
      </c>
      <c r="AD75" s="66">
        <f t="shared" si="37"/>
        <v>38.641754071575399</v>
      </c>
      <c r="AE75" s="65">
        <f>AE67</f>
        <v>0</v>
      </c>
      <c r="AF75" s="66">
        <f>AF67/T67*100</f>
        <v>0</v>
      </c>
      <c r="AG75" s="67">
        <f>(U75+W75+Y75+AE75)</f>
        <v>1</v>
      </c>
      <c r="AH75" s="66">
        <f>V75+X75+Z75+AF75</f>
        <v>119.721</v>
      </c>
      <c r="AI75" s="113"/>
      <c r="AJ75" s="113"/>
      <c r="AK75" s="113"/>
      <c r="AL75" s="113"/>
      <c r="AM75" s="113"/>
      <c r="AN75" s="113"/>
      <c r="AO75" s="199"/>
      <c r="AP75" s="114"/>
      <c r="AQ75" s="115">
        <f>SUM(AQ69:AQ74)/11</f>
        <v>0</v>
      </c>
      <c r="AR75" s="115">
        <f>SUM(AR69:AR74)/11</f>
        <v>0</v>
      </c>
      <c r="AS75" s="593"/>
    </row>
    <row r="76" spans="1:46" s="1" customFormat="1" ht="15" customHeight="1" x14ac:dyDescent="0.25">
      <c r="A76" s="535"/>
      <c r="B76" s="803"/>
      <c r="C76" s="755" t="s">
        <v>46</v>
      </c>
      <c r="D76" s="756"/>
      <c r="E76" s="756"/>
      <c r="F76" s="756"/>
      <c r="G76" s="756"/>
      <c r="H76" s="756"/>
      <c r="I76" s="756"/>
      <c r="J76" s="756"/>
      <c r="K76" s="756"/>
      <c r="L76" s="756"/>
      <c r="M76" s="756"/>
      <c r="N76" s="756"/>
      <c r="O76" s="756"/>
      <c r="P76" s="756"/>
      <c r="Q76" s="756"/>
      <c r="R76" s="756"/>
      <c r="S76" s="756"/>
      <c r="T76" s="799"/>
      <c r="U76" s="71"/>
      <c r="V76" s="71"/>
      <c r="W76" s="65" t="s">
        <v>51</v>
      </c>
      <c r="X76" s="65" t="s">
        <v>51</v>
      </c>
      <c r="Y76" s="65"/>
      <c r="Z76" s="65"/>
      <c r="AA76" s="65"/>
      <c r="AB76" s="65"/>
      <c r="AC76" s="65"/>
      <c r="AD76" s="65"/>
      <c r="AE76" s="65"/>
      <c r="AF76" s="65"/>
      <c r="AG76" s="65" t="s">
        <v>51</v>
      </c>
      <c r="AH76" s="65" t="s">
        <v>51</v>
      </c>
      <c r="AI76" s="65"/>
      <c r="AJ76" s="65"/>
      <c r="AK76" s="65"/>
      <c r="AL76" s="65"/>
      <c r="AM76" s="65"/>
      <c r="AN76" s="65"/>
      <c r="AO76" s="71"/>
      <c r="AP76" s="68"/>
      <c r="AQ76" s="68"/>
      <c r="AR76" s="68"/>
      <c r="AS76" s="70"/>
    </row>
    <row r="77" spans="1:46" s="584" customFormat="1" ht="24" customHeight="1" x14ac:dyDescent="0.25">
      <c r="A77" s="570"/>
      <c r="B77" s="803"/>
      <c r="C77" s="571" t="s">
        <v>528</v>
      </c>
      <c r="D77" s="572" t="s">
        <v>529</v>
      </c>
      <c r="E77" s="573"/>
      <c r="F77" s="588">
        <v>100</v>
      </c>
      <c r="G77" s="598" t="s">
        <v>50</v>
      </c>
      <c r="H77" s="599"/>
      <c r="I77" s="600"/>
      <c r="J77" s="601"/>
      <c r="K77" s="601"/>
      <c r="L77" s="601"/>
      <c r="M77" s="601"/>
      <c r="N77" s="602"/>
      <c r="O77" s="602"/>
      <c r="P77" s="602"/>
      <c r="Q77" s="574"/>
      <c r="R77" s="574"/>
      <c r="S77" s="575"/>
      <c r="T77" s="576">
        <f>T78</f>
        <v>183000</v>
      </c>
      <c r="U77" s="577"/>
      <c r="V77" s="578">
        <f>V78</f>
        <v>178640</v>
      </c>
      <c r="W77" s="578">
        <f t="shared" ref="W77:AB77" si="38">W78</f>
        <v>0</v>
      </c>
      <c r="X77" s="578">
        <f t="shared" si="38"/>
        <v>0</v>
      </c>
      <c r="Y77" s="578">
        <f t="shared" si="38"/>
        <v>0</v>
      </c>
      <c r="Z77" s="578">
        <f t="shared" si="38"/>
        <v>0</v>
      </c>
      <c r="AA77" s="578">
        <f t="shared" si="38"/>
        <v>0</v>
      </c>
      <c r="AB77" s="578">
        <f t="shared" si="38"/>
        <v>0</v>
      </c>
      <c r="AC77" s="578">
        <f>AC78</f>
        <v>0</v>
      </c>
      <c r="AD77" s="578">
        <f t="shared" ref="AD77" si="39">AD78</f>
        <v>0</v>
      </c>
      <c r="AE77" s="578"/>
      <c r="AF77" s="579"/>
      <c r="AG77" s="580"/>
      <c r="AH77" s="581"/>
      <c r="AI77" s="581"/>
      <c r="AJ77" s="581"/>
      <c r="AK77" s="581"/>
      <c r="AL77" s="581"/>
      <c r="AM77" s="581"/>
      <c r="AN77" s="581"/>
      <c r="AO77" s="582"/>
      <c r="AP77" s="582"/>
      <c r="AQ77" s="580"/>
      <c r="AR77" s="580"/>
      <c r="AS77" s="583"/>
    </row>
    <row r="78" spans="1:46" s="586" customFormat="1" ht="39.75" customHeight="1" x14ac:dyDescent="0.25">
      <c r="A78" s="558"/>
      <c r="B78" s="803"/>
      <c r="C78" s="567"/>
      <c r="D78" s="587" t="s">
        <v>530</v>
      </c>
      <c r="E78" s="559"/>
      <c r="F78" s="589">
        <v>1</v>
      </c>
      <c r="G78" s="603" t="s">
        <v>520</v>
      </c>
      <c r="H78" s="604">
        <v>178640</v>
      </c>
      <c r="I78" s="605"/>
      <c r="J78" s="606"/>
      <c r="K78" s="606"/>
      <c r="L78" s="606"/>
      <c r="M78" s="606"/>
      <c r="N78" s="590"/>
      <c r="O78" s="590"/>
      <c r="P78" s="590"/>
      <c r="Q78" s="590"/>
      <c r="R78" s="590"/>
      <c r="S78" s="607"/>
      <c r="T78" s="597">
        <v>183000</v>
      </c>
      <c r="U78" s="591" t="s">
        <v>533</v>
      </c>
      <c r="V78" s="592">
        <v>178640</v>
      </c>
      <c r="W78" s="561"/>
      <c r="X78" s="560"/>
      <c r="Y78" s="562"/>
      <c r="Z78" s="563">
        <v>0</v>
      </c>
      <c r="AA78" s="563"/>
      <c r="AB78" s="563">
        <v>0</v>
      </c>
      <c r="AC78" s="563"/>
      <c r="AD78" s="563">
        <v>0</v>
      </c>
      <c r="AE78" s="560"/>
      <c r="AF78" s="585"/>
      <c r="AG78" s="564"/>
      <c r="AH78" s="565"/>
      <c r="AI78" s="594"/>
      <c r="AJ78" s="594"/>
      <c r="AK78" s="594"/>
      <c r="AL78" s="594"/>
      <c r="AM78" s="594"/>
      <c r="AN78" s="594"/>
      <c r="AO78" s="595"/>
      <c r="AP78" s="595"/>
      <c r="AQ78" s="596"/>
      <c r="AR78" s="596"/>
      <c r="AS78" s="608"/>
      <c r="AT78" s="609"/>
    </row>
    <row r="79" spans="1:46" s="1" customFormat="1" ht="15" customHeight="1" x14ac:dyDescent="0.25">
      <c r="A79" s="535"/>
      <c r="B79" s="803"/>
      <c r="C79" s="755" t="s">
        <v>45</v>
      </c>
      <c r="D79" s="756"/>
      <c r="E79" s="756"/>
      <c r="F79" s="756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799"/>
      <c r="U79" s="63" t="str">
        <f>U71</f>
        <v>1 kajian</v>
      </c>
      <c r="V79" s="64">
        <f>V77/T77*100</f>
        <v>97.617486338797804</v>
      </c>
      <c r="W79" s="65">
        <f>W71</f>
        <v>0</v>
      </c>
      <c r="X79" s="65">
        <f t="shared" ref="X79" si="40">X71</f>
        <v>0</v>
      </c>
      <c r="Y79" s="65">
        <v>0</v>
      </c>
      <c r="Z79" s="65" t="e">
        <f>Z77/U77*100</f>
        <v>#DIV/0!</v>
      </c>
      <c r="AA79" s="66"/>
      <c r="AB79" s="66"/>
      <c r="AC79" s="66"/>
      <c r="AD79" s="66"/>
      <c r="AE79" s="65">
        <f>AE71</f>
        <v>0</v>
      </c>
      <c r="AF79" s="66" t="e">
        <f>AF71/T71*100</f>
        <v>#DIV/0!</v>
      </c>
      <c r="AG79" s="67" t="e">
        <f>(U79+W79+Y79+AE79)</f>
        <v>#VALUE!</v>
      </c>
      <c r="AH79" s="66" t="e">
        <f>V79+X79+Z79+AF79</f>
        <v>#DIV/0!</v>
      </c>
      <c r="AI79" s="113"/>
      <c r="AJ79" s="113"/>
      <c r="AK79" s="113"/>
      <c r="AL79" s="113"/>
      <c r="AM79" s="113"/>
      <c r="AN79" s="113"/>
      <c r="AO79" s="199"/>
      <c r="AP79" s="114"/>
      <c r="AQ79" s="115">
        <f>SUM(AQ73:AQ78)/11</f>
        <v>0</v>
      </c>
      <c r="AR79" s="115">
        <f>SUM(AR73:AR78)/11</f>
        <v>0</v>
      </c>
      <c r="AS79" s="593"/>
    </row>
    <row r="80" spans="1:46" s="1" customFormat="1" ht="15" customHeight="1" x14ac:dyDescent="0.25">
      <c r="A80" s="535"/>
      <c r="B80" s="803"/>
      <c r="C80" s="755" t="s">
        <v>46</v>
      </c>
      <c r="D80" s="756"/>
      <c r="E80" s="756"/>
      <c r="F80" s="756"/>
      <c r="G80" s="756"/>
      <c r="H80" s="756"/>
      <c r="I80" s="756"/>
      <c r="J80" s="756"/>
      <c r="K80" s="756"/>
      <c r="L80" s="756"/>
      <c r="M80" s="756"/>
      <c r="N80" s="756"/>
      <c r="O80" s="756"/>
      <c r="P80" s="756"/>
      <c r="Q80" s="756"/>
      <c r="R80" s="756"/>
      <c r="S80" s="756"/>
      <c r="T80" s="799"/>
      <c r="U80" s="71"/>
      <c r="V80" s="71"/>
      <c r="W80" s="65" t="s">
        <v>51</v>
      </c>
      <c r="X80" s="65" t="s">
        <v>51</v>
      </c>
      <c r="Y80" s="65"/>
      <c r="Z80" s="65"/>
      <c r="AA80" s="65"/>
      <c r="AB80" s="65"/>
      <c r="AC80" s="65"/>
      <c r="AD80" s="65"/>
      <c r="AE80" s="65"/>
      <c r="AF80" s="65"/>
      <c r="AG80" s="65" t="s">
        <v>51</v>
      </c>
      <c r="AH80" s="65" t="s">
        <v>51</v>
      </c>
      <c r="AI80" s="65"/>
      <c r="AJ80" s="65"/>
      <c r="AK80" s="65"/>
      <c r="AL80" s="65"/>
      <c r="AM80" s="65"/>
      <c r="AN80" s="65"/>
      <c r="AO80" s="71"/>
      <c r="AP80" s="68"/>
      <c r="AQ80" s="68"/>
      <c r="AR80" s="68"/>
      <c r="AS80" s="70"/>
    </row>
    <row r="81" spans="1:45" s="1" customFormat="1" ht="24" customHeight="1" x14ac:dyDescent="0.25">
      <c r="A81" s="524" t="s">
        <v>494</v>
      </c>
      <c r="B81" s="803"/>
      <c r="C81" s="776" t="s">
        <v>472</v>
      </c>
      <c r="D81" s="201" t="s">
        <v>473</v>
      </c>
      <c r="E81" s="823" t="s">
        <v>504</v>
      </c>
      <c r="F81" s="806">
        <f>(SUM(F84:F94)/SUM(F84:F94))*100</f>
        <v>100</v>
      </c>
      <c r="G81" s="817" t="s">
        <v>53</v>
      </c>
      <c r="H81" s="806">
        <f t="shared" ref="H81:I81" si="41">SUM(H83:H94)</f>
        <v>681125</v>
      </c>
      <c r="I81" s="806">
        <f t="shared" si="41"/>
        <v>0</v>
      </c>
      <c r="J81" s="806">
        <f>SUM(J83:J94)</f>
        <v>114575</v>
      </c>
      <c r="K81" s="806">
        <f t="shared" ref="K81:O81" si="42">SUM(K83:K94)</f>
        <v>0</v>
      </c>
      <c r="L81" s="806">
        <f t="shared" si="42"/>
        <v>135500</v>
      </c>
      <c r="M81" s="806">
        <f t="shared" si="42"/>
        <v>0</v>
      </c>
      <c r="N81" s="806">
        <f t="shared" si="42"/>
        <v>37500</v>
      </c>
      <c r="O81" s="806">
        <f t="shared" si="42"/>
        <v>0</v>
      </c>
      <c r="P81" s="806">
        <f>SUM(P83:P94)</f>
        <v>66050</v>
      </c>
      <c r="Q81" s="806">
        <f t="shared" ref="Q81:R81" si="43">SUM(Q83:Q94)</f>
        <v>1</v>
      </c>
      <c r="R81" s="806">
        <f t="shared" si="43"/>
        <v>138750</v>
      </c>
      <c r="S81" s="174">
        <f>(SUM(S84:S94)/SUM(S84:S94))*100</f>
        <v>100</v>
      </c>
      <c r="T81" s="75">
        <f>SUM(T84:T94)</f>
        <v>138750</v>
      </c>
      <c r="U81" s="614">
        <v>1</v>
      </c>
      <c r="V81" s="75">
        <f>SUM(V83:V94)</f>
        <v>59295</v>
      </c>
      <c r="W81" s="618">
        <v>1</v>
      </c>
      <c r="X81" s="75">
        <f>SUM(X83:X94)</f>
        <v>126346</v>
      </c>
      <c r="Y81" s="174">
        <f>(SUM(Y84:Y94)/SUM(S84:S94))*100</f>
        <v>0</v>
      </c>
      <c r="Z81" s="175">
        <f>SUM(Z84:Z94)</f>
        <v>34084</v>
      </c>
      <c r="AA81" s="175"/>
      <c r="AB81" s="175">
        <f>SUM(AB83:AB94)</f>
        <v>192669</v>
      </c>
      <c r="AC81" s="175">
        <f t="shared" ref="AC81:AD81" si="44">SUM(AC83:AC94)</f>
        <v>0</v>
      </c>
      <c r="AD81" s="175">
        <f t="shared" si="44"/>
        <v>25475</v>
      </c>
      <c r="AE81" s="73">
        <f>(SUM(AE84:AE94)/SUM(S84:S94))*100</f>
        <v>0</v>
      </c>
      <c r="AF81" s="176">
        <f>SUM(AF84:AF94)</f>
        <v>0</v>
      </c>
      <c r="AG81" s="177">
        <f>U81+W81+Y81+AE81</f>
        <v>2</v>
      </c>
      <c r="AH81" s="75">
        <f>AH83+AH85+AH87+AH89+AH91+AH93</f>
        <v>199.3</v>
      </c>
      <c r="AI81" s="75">
        <f t="shared" ref="AI81:AJ81" si="45">AI83+AI85+AI87+AI89+AI91+AI93</f>
        <v>0</v>
      </c>
      <c r="AJ81" s="75">
        <f t="shared" si="45"/>
        <v>244.73846153846156</v>
      </c>
      <c r="AK81" s="75">
        <f>AK83+AK85+AK87+AK89+AK91+AK93</f>
        <v>0</v>
      </c>
      <c r="AL81" s="75">
        <f>AL83+AL85+AL87+AL89+AL91+AL93</f>
        <v>90.890666666666661</v>
      </c>
      <c r="AM81" s="75">
        <f t="shared" ref="AM81:AN81" si="46">AM83+AM85+AM87+AM89+AM91+AM93</f>
        <v>0</v>
      </c>
      <c r="AN81" s="75">
        <f t="shared" si="46"/>
        <v>142.99318697956093</v>
      </c>
      <c r="AO81" s="277">
        <f>AO84+AO86+AO88+AO90+AO92+AO94+AO94</f>
        <v>0</v>
      </c>
      <c r="AP81" s="277">
        <f>SUM(AP83:AP94)</f>
        <v>38.32691044152913</v>
      </c>
      <c r="AQ81" s="278"/>
      <c r="AR81" s="278"/>
      <c r="AS81" s="279"/>
    </row>
    <row r="82" spans="1:45" s="1" customFormat="1" ht="15" customHeight="1" x14ac:dyDescent="0.25">
      <c r="A82" s="536"/>
      <c r="B82" s="803"/>
      <c r="C82" s="777"/>
      <c r="D82" s="517"/>
      <c r="E82" s="824"/>
      <c r="F82" s="807"/>
      <c r="G82" s="818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321">
        <v>61.24</v>
      </c>
      <c r="T82" s="184"/>
      <c r="U82" s="182"/>
      <c r="V82" s="184"/>
      <c r="W82" s="187"/>
      <c r="X82" s="184"/>
      <c r="Y82" s="186"/>
      <c r="Z82" s="188"/>
      <c r="AA82" s="188"/>
      <c r="AB82" s="188"/>
      <c r="AC82" s="188"/>
      <c r="AD82" s="188"/>
      <c r="AE82" s="182"/>
      <c r="AF82" s="189"/>
      <c r="AG82" s="190"/>
      <c r="AH82" s="184"/>
      <c r="AI82" s="184"/>
      <c r="AJ82" s="184"/>
      <c r="AK82" s="184"/>
      <c r="AL82" s="184"/>
      <c r="AM82" s="184"/>
      <c r="AN82" s="184"/>
      <c r="AO82" s="325"/>
      <c r="AP82" s="325"/>
      <c r="AQ82" s="321"/>
      <c r="AR82" s="321"/>
      <c r="AS82" s="322"/>
    </row>
    <row r="83" spans="1:45" s="1" customFormat="1" ht="15" customHeight="1" x14ac:dyDescent="0.25">
      <c r="A83" s="536">
        <v>26</v>
      </c>
      <c r="B83" s="803"/>
      <c r="C83" s="491" t="s">
        <v>474</v>
      </c>
      <c r="D83" s="516" t="s">
        <v>475</v>
      </c>
      <c r="E83" s="540" t="s">
        <v>521</v>
      </c>
      <c r="F83" s="541">
        <v>2</v>
      </c>
      <c r="G83" s="542" t="s">
        <v>53</v>
      </c>
      <c r="H83" s="543">
        <v>22575</v>
      </c>
      <c r="I83" s="541" t="s">
        <v>527</v>
      </c>
      <c r="J83" s="541">
        <v>19575</v>
      </c>
      <c r="K83" s="541" t="s">
        <v>527</v>
      </c>
      <c r="L83" s="541">
        <v>3000</v>
      </c>
      <c r="M83" s="541">
        <v>0</v>
      </c>
      <c r="N83" s="543">
        <v>0</v>
      </c>
      <c r="O83" s="543">
        <v>0</v>
      </c>
      <c r="P83" s="543">
        <v>0</v>
      </c>
      <c r="Q83" s="543">
        <v>0</v>
      </c>
      <c r="R83" s="543">
        <v>0</v>
      </c>
      <c r="S83" s="544">
        <v>59.49</v>
      </c>
      <c r="T83" s="543"/>
      <c r="U83" s="545" t="s">
        <v>527</v>
      </c>
      <c r="V83" s="543">
        <v>19575</v>
      </c>
      <c r="W83" s="546" t="s">
        <v>527</v>
      </c>
      <c r="X83" s="543">
        <v>2080</v>
      </c>
      <c r="Y83" s="547"/>
      <c r="Z83" s="548"/>
      <c r="AA83" s="548"/>
      <c r="AB83" s="548"/>
      <c r="AC83" s="548"/>
      <c r="AD83" s="548"/>
      <c r="AE83" s="545"/>
      <c r="AF83" s="549"/>
      <c r="AG83" s="550"/>
      <c r="AH83" s="543">
        <f>(V83/J83)*100</f>
        <v>100</v>
      </c>
      <c r="AI83" s="543"/>
      <c r="AJ83" s="543">
        <f>(X83/L83)*100</f>
        <v>69.333333333333343</v>
      </c>
      <c r="AK83" s="543"/>
      <c r="AL83" s="543"/>
      <c r="AM83" s="543"/>
      <c r="AN83" s="543"/>
      <c r="AO83" s="551"/>
      <c r="AP83" s="551"/>
      <c r="AQ83" s="544"/>
      <c r="AR83" s="544"/>
      <c r="AS83" s="539"/>
    </row>
    <row r="84" spans="1:45" s="1" customFormat="1" ht="24" customHeight="1" x14ac:dyDescent="0.25">
      <c r="A84" s="528"/>
      <c r="B84" s="803"/>
      <c r="C84" s="491"/>
      <c r="D84" s="516" t="s">
        <v>476</v>
      </c>
      <c r="E84" s="86"/>
      <c r="F84" s="310">
        <v>0</v>
      </c>
      <c r="G84" s="33" t="s">
        <v>157</v>
      </c>
      <c r="H84" s="34">
        <v>0</v>
      </c>
      <c r="I84" s="88"/>
      <c r="J84" s="88"/>
      <c r="K84" s="88"/>
      <c r="L84" s="88"/>
      <c r="M84" s="88"/>
      <c r="N84" s="36"/>
      <c r="O84" s="36"/>
      <c r="P84" s="36"/>
      <c r="Q84" s="36"/>
      <c r="R84" s="36"/>
      <c r="S84" s="88"/>
      <c r="T84" s="34"/>
      <c r="U84" s="88"/>
      <c r="V84" s="36"/>
      <c r="W84" s="37"/>
      <c r="X84" s="36"/>
      <c r="Y84" s="38"/>
      <c r="Z84" s="39"/>
      <c r="AA84" s="39"/>
      <c r="AB84" s="39"/>
      <c r="AC84" s="39"/>
      <c r="AD84" s="39"/>
      <c r="AE84" s="171"/>
      <c r="AF84" s="40"/>
      <c r="AG84" s="43"/>
      <c r="AH84" s="543"/>
      <c r="AI84" s="41"/>
      <c r="AJ84" s="543"/>
      <c r="AK84" s="41"/>
      <c r="AL84" s="41"/>
      <c r="AM84" s="41"/>
      <c r="AN84" s="543"/>
      <c r="AO84" s="42"/>
      <c r="AP84" s="42"/>
      <c r="AQ84" s="43"/>
      <c r="AR84" s="43"/>
      <c r="AS84" s="767"/>
    </row>
    <row r="85" spans="1:45" s="1" customFormat="1" ht="24" customHeight="1" x14ac:dyDescent="0.25">
      <c r="A85" s="528">
        <v>27</v>
      </c>
      <c r="B85" s="803"/>
      <c r="C85" s="491" t="s">
        <v>477</v>
      </c>
      <c r="D85" s="516" t="s">
        <v>478</v>
      </c>
      <c r="E85" s="86" t="s">
        <v>521</v>
      </c>
      <c r="F85" s="310">
        <v>4</v>
      </c>
      <c r="G85" s="33">
        <v>0</v>
      </c>
      <c r="H85" s="34">
        <v>173550</v>
      </c>
      <c r="I85" s="88" t="s">
        <v>527</v>
      </c>
      <c r="J85" s="88">
        <v>40000</v>
      </c>
      <c r="K85" s="88" t="s">
        <v>527</v>
      </c>
      <c r="L85" s="88">
        <v>30000</v>
      </c>
      <c r="M85" s="88" t="s">
        <v>527</v>
      </c>
      <c r="N85" s="36">
        <v>37500</v>
      </c>
      <c r="O85" s="36" t="s">
        <v>527</v>
      </c>
      <c r="P85" s="36">
        <v>66050</v>
      </c>
      <c r="Q85" s="36"/>
      <c r="R85" s="36"/>
      <c r="S85" s="88"/>
      <c r="T85" s="34"/>
      <c r="U85" s="88" t="s">
        <v>527</v>
      </c>
      <c r="V85" s="36">
        <v>39720</v>
      </c>
      <c r="W85" s="37" t="s">
        <v>527</v>
      </c>
      <c r="X85" s="36">
        <v>22760</v>
      </c>
      <c r="Y85" s="38" t="s">
        <v>527</v>
      </c>
      <c r="Z85" s="39">
        <v>34084</v>
      </c>
      <c r="AA85" s="39" t="s">
        <v>527</v>
      </c>
      <c r="AB85" s="39">
        <v>94447</v>
      </c>
      <c r="AC85" s="39"/>
      <c r="AD85" s="39"/>
      <c r="AE85" s="171"/>
      <c r="AF85" s="40"/>
      <c r="AG85" s="43"/>
      <c r="AH85" s="543">
        <f t="shared" ref="AH85:AH87" si="47">(V85/J85)*100</f>
        <v>99.3</v>
      </c>
      <c r="AI85" s="41"/>
      <c r="AJ85" s="543">
        <f t="shared" ref="AJ85:AJ89" si="48">(X85/L85)*100</f>
        <v>75.866666666666674</v>
      </c>
      <c r="AK85" s="41"/>
      <c r="AL85" s="41">
        <f>(Z85/N85)*100</f>
        <v>90.890666666666661</v>
      </c>
      <c r="AM85" s="41"/>
      <c r="AN85" s="543">
        <f t="shared" ref="AN85" si="49">(AB85/P85)*100</f>
        <v>142.99318697956093</v>
      </c>
      <c r="AO85" s="42"/>
      <c r="AP85" s="42"/>
      <c r="AQ85" s="43"/>
      <c r="AR85" s="43"/>
      <c r="AS85" s="768"/>
    </row>
    <row r="86" spans="1:45" s="1" customFormat="1" ht="24" customHeight="1" x14ac:dyDescent="0.25">
      <c r="A86" s="528"/>
      <c r="B86" s="803"/>
      <c r="C86" s="491"/>
      <c r="D86" s="516" t="s">
        <v>479</v>
      </c>
      <c r="E86" s="86"/>
      <c r="F86" s="310">
        <v>2</v>
      </c>
      <c r="G86" s="33">
        <v>0</v>
      </c>
      <c r="H86" s="34">
        <v>182100</v>
      </c>
      <c r="I86" s="88"/>
      <c r="J86" s="88"/>
      <c r="K86" s="88"/>
      <c r="L86" s="88"/>
      <c r="M86" s="88"/>
      <c r="N86" s="36"/>
      <c r="O86" s="36"/>
      <c r="P86" s="36"/>
      <c r="Q86" s="36" t="s">
        <v>527</v>
      </c>
      <c r="R86" s="36">
        <v>66050</v>
      </c>
      <c r="S86" s="88" t="s">
        <v>527</v>
      </c>
      <c r="T86" s="34">
        <v>66050</v>
      </c>
      <c r="U86" s="88"/>
      <c r="V86" s="36"/>
      <c r="W86" s="37"/>
      <c r="X86" s="36"/>
      <c r="Y86" s="38"/>
      <c r="Z86" s="39"/>
      <c r="AA86" s="39"/>
      <c r="AB86" s="39"/>
      <c r="AC86" s="39" t="s">
        <v>527</v>
      </c>
      <c r="AD86" s="39">
        <v>23725</v>
      </c>
      <c r="AE86" s="171"/>
      <c r="AF86" s="40"/>
      <c r="AG86" s="43"/>
      <c r="AH86" s="543"/>
      <c r="AI86" s="41"/>
      <c r="AJ86" s="543"/>
      <c r="AK86" s="41"/>
      <c r="AL86" s="41"/>
      <c r="AM86" s="41"/>
      <c r="AN86" s="543"/>
      <c r="AO86" s="42"/>
      <c r="AP86" s="42">
        <f>AD86/R86*100</f>
        <v>35.919757759273281</v>
      </c>
      <c r="AQ86" s="43"/>
      <c r="AR86" s="43"/>
      <c r="AS86" s="768"/>
    </row>
    <row r="87" spans="1:45" s="1" customFormat="1" ht="24" customHeight="1" x14ac:dyDescent="0.25">
      <c r="A87" s="528">
        <v>28</v>
      </c>
      <c r="B87" s="803"/>
      <c r="C87" s="491" t="s">
        <v>480</v>
      </c>
      <c r="D87" s="516" t="s">
        <v>481</v>
      </c>
      <c r="E87" s="86" t="s">
        <v>522</v>
      </c>
      <c r="F87" s="310">
        <v>0</v>
      </c>
      <c r="G87" s="33" t="s">
        <v>157</v>
      </c>
      <c r="H87" s="34">
        <v>125000</v>
      </c>
      <c r="I87" s="88" t="s">
        <v>527</v>
      </c>
      <c r="J87" s="88">
        <v>55000</v>
      </c>
      <c r="K87" s="88" t="s">
        <v>527</v>
      </c>
      <c r="L87" s="88">
        <v>70000</v>
      </c>
      <c r="M87" s="88">
        <v>0</v>
      </c>
      <c r="N87" s="36">
        <v>0</v>
      </c>
      <c r="O87" s="36"/>
      <c r="P87" s="36">
        <v>0</v>
      </c>
      <c r="Q87" s="36"/>
      <c r="R87" s="36"/>
      <c r="S87" s="88"/>
      <c r="T87" s="34"/>
      <c r="U87" s="88"/>
      <c r="V87" s="36"/>
      <c r="W87" s="37"/>
      <c r="X87" s="36"/>
      <c r="Y87" s="38"/>
      <c r="Z87" s="39"/>
      <c r="AA87" s="39"/>
      <c r="AB87" s="39"/>
      <c r="AC87" s="39"/>
      <c r="AD87" s="39"/>
      <c r="AE87" s="171"/>
      <c r="AF87" s="40"/>
      <c r="AG87" s="43"/>
      <c r="AH87" s="543">
        <f t="shared" si="47"/>
        <v>0</v>
      </c>
      <c r="AI87" s="41"/>
      <c r="AJ87" s="543">
        <f t="shared" si="48"/>
        <v>0</v>
      </c>
      <c r="AK87" s="41"/>
      <c r="AL87" s="41"/>
      <c r="AM87" s="41"/>
      <c r="AN87" s="543"/>
      <c r="AO87" s="42"/>
      <c r="AP87" s="42"/>
      <c r="AQ87" s="43"/>
      <c r="AR87" s="43"/>
      <c r="AS87" s="768"/>
    </row>
    <row r="88" spans="1:45" s="1" customFormat="1" ht="24" customHeight="1" x14ac:dyDescent="0.25">
      <c r="A88" s="528"/>
      <c r="B88" s="803"/>
      <c r="C88" s="491"/>
      <c r="D88" s="516" t="s">
        <v>482</v>
      </c>
      <c r="E88" s="86"/>
      <c r="F88" s="310">
        <v>0</v>
      </c>
      <c r="G88" s="33" t="s">
        <v>157</v>
      </c>
      <c r="H88" s="34"/>
      <c r="I88" s="35"/>
      <c r="J88" s="35"/>
      <c r="K88" s="35"/>
      <c r="L88" s="35"/>
      <c r="M88" s="35"/>
      <c r="N88" s="36"/>
      <c r="O88" s="36"/>
      <c r="P88" s="36"/>
      <c r="Q88" s="36">
        <v>0</v>
      </c>
      <c r="R88" s="36">
        <v>0</v>
      </c>
      <c r="S88" s="110">
        <v>0</v>
      </c>
      <c r="T88" s="34">
        <v>0</v>
      </c>
      <c r="U88" s="35"/>
      <c r="V88" s="36"/>
      <c r="W88" s="37"/>
      <c r="X88" s="36"/>
      <c r="Y88" s="38"/>
      <c r="Z88" s="39"/>
      <c r="AA88" s="39"/>
      <c r="AB88" s="39"/>
      <c r="AC88" s="39"/>
      <c r="AD88" s="39"/>
      <c r="AE88" s="36"/>
      <c r="AF88" s="40"/>
      <c r="AG88" s="43"/>
      <c r="AH88" s="543"/>
      <c r="AI88" s="41"/>
      <c r="AJ88" s="543"/>
      <c r="AK88" s="41"/>
      <c r="AL88" s="41"/>
      <c r="AM88" s="41"/>
      <c r="AN88" s="543"/>
      <c r="AO88" s="42"/>
      <c r="AP88" s="42"/>
      <c r="AQ88" s="43"/>
      <c r="AR88" s="43"/>
      <c r="AS88" s="768"/>
    </row>
    <row r="89" spans="1:45" s="1" customFormat="1" ht="24" customHeight="1" x14ac:dyDescent="0.25">
      <c r="A89" s="528">
        <v>29</v>
      </c>
      <c r="B89" s="803"/>
      <c r="C89" s="491" t="s">
        <v>483</v>
      </c>
      <c r="D89" s="516" t="s">
        <v>484</v>
      </c>
      <c r="E89" s="86" t="s">
        <v>522</v>
      </c>
      <c r="F89" s="310">
        <v>1</v>
      </c>
      <c r="G89" s="33" t="s">
        <v>157</v>
      </c>
      <c r="H89" s="34">
        <v>32500</v>
      </c>
      <c r="I89" s="88">
        <v>0</v>
      </c>
      <c r="J89" s="88">
        <v>0</v>
      </c>
      <c r="K89" s="88" t="s">
        <v>527</v>
      </c>
      <c r="L89" s="88">
        <v>32500</v>
      </c>
      <c r="M89" s="88">
        <v>0</v>
      </c>
      <c r="N89" s="36">
        <v>0</v>
      </c>
      <c r="O89" s="36">
        <v>0</v>
      </c>
      <c r="P89" s="36">
        <v>0</v>
      </c>
      <c r="Q89" s="36"/>
      <c r="R89" s="36"/>
      <c r="S89" s="110"/>
      <c r="T89" s="34"/>
      <c r="U89" s="88"/>
      <c r="V89" s="36"/>
      <c r="W89" s="37" t="s">
        <v>527</v>
      </c>
      <c r="X89" s="36">
        <v>32350</v>
      </c>
      <c r="Y89" s="38"/>
      <c r="Z89" s="39"/>
      <c r="AA89" s="39"/>
      <c r="AB89" s="39"/>
      <c r="AC89" s="39"/>
      <c r="AD89" s="39"/>
      <c r="AE89" s="171"/>
      <c r="AF89" s="40"/>
      <c r="AG89" s="43"/>
      <c r="AH89" s="543"/>
      <c r="AI89" s="41"/>
      <c r="AJ89" s="543">
        <f t="shared" si="48"/>
        <v>99.538461538461547</v>
      </c>
      <c r="AK89" s="41"/>
      <c r="AL89" s="41"/>
      <c r="AM89" s="41"/>
      <c r="AN89" s="543"/>
      <c r="AO89" s="42"/>
      <c r="AP89" s="42"/>
      <c r="AQ89" s="43"/>
      <c r="AR89" s="43"/>
      <c r="AS89" s="768"/>
    </row>
    <row r="90" spans="1:45" s="1" customFormat="1" ht="24" customHeight="1" x14ac:dyDescent="0.25">
      <c r="A90" s="528"/>
      <c r="B90" s="803"/>
      <c r="C90" s="491"/>
      <c r="D90" s="516" t="s">
        <v>485</v>
      </c>
      <c r="E90" s="86"/>
      <c r="F90" s="310"/>
      <c r="G90" s="33"/>
      <c r="H90" s="34"/>
      <c r="I90" s="88"/>
      <c r="J90" s="88"/>
      <c r="K90" s="88"/>
      <c r="L90" s="88"/>
      <c r="M90" s="88"/>
      <c r="N90" s="36"/>
      <c r="O90" s="36"/>
      <c r="P90" s="36"/>
      <c r="Q90" s="36">
        <v>0</v>
      </c>
      <c r="R90" s="36">
        <v>0</v>
      </c>
      <c r="S90" s="110">
        <v>0</v>
      </c>
      <c r="T90" s="34">
        <v>0</v>
      </c>
      <c r="U90" s="88"/>
      <c r="V90" s="36"/>
      <c r="W90" s="37"/>
      <c r="X90" s="36"/>
      <c r="Y90" s="38"/>
      <c r="Z90" s="39"/>
      <c r="AA90" s="39"/>
      <c r="AB90" s="39"/>
      <c r="AC90" s="39"/>
      <c r="AD90" s="39"/>
      <c r="AE90" s="171"/>
      <c r="AF90" s="40"/>
      <c r="AG90" s="43"/>
      <c r="AH90" s="543"/>
      <c r="AI90" s="41"/>
      <c r="AJ90" s="543"/>
      <c r="AK90" s="41"/>
      <c r="AL90" s="41"/>
      <c r="AM90" s="41"/>
      <c r="AN90" s="543"/>
      <c r="AO90" s="42"/>
      <c r="AP90" s="42"/>
      <c r="AQ90" s="43"/>
      <c r="AR90" s="43"/>
      <c r="AS90" s="768"/>
    </row>
    <row r="91" spans="1:45" s="1" customFormat="1" ht="24" customHeight="1" x14ac:dyDescent="0.25">
      <c r="A91" s="528">
        <v>30</v>
      </c>
      <c r="B91" s="803"/>
      <c r="C91" s="491" t="s">
        <v>486</v>
      </c>
      <c r="D91" s="516" t="s">
        <v>487</v>
      </c>
      <c r="E91" s="86" t="s">
        <v>523</v>
      </c>
      <c r="F91" s="310"/>
      <c r="G91" s="33"/>
      <c r="H91" s="34"/>
      <c r="I91" s="88"/>
      <c r="J91" s="88"/>
      <c r="K91" s="88"/>
      <c r="L91" s="88"/>
      <c r="M91" s="88"/>
      <c r="N91" s="36"/>
      <c r="O91" s="36"/>
      <c r="P91" s="36"/>
      <c r="Q91" s="36"/>
      <c r="R91" s="36"/>
      <c r="S91" s="110"/>
      <c r="T91" s="34"/>
      <c r="U91" s="88"/>
      <c r="V91" s="36"/>
      <c r="W91" s="37" t="s">
        <v>527</v>
      </c>
      <c r="X91" s="36">
        <v>69156</v>
      </c>
      <c r="Y91" s="38"/>
      <c r="Z91" s="39"/>
      <c r="AA91" s="39"/>
      <c r="AB91" s="39"/>
      <c r="AC91" s="39"/>
      <c r="AD91" s="39"/>
      <c r="AE91" s="171"/>
      <c r="AF91" s="40"/>
      <c r="AG91" s="43"/>
      <c r="AH91" s="543"/>
      <c r="AI91" s="41"/>
      <c r="AJ91" s="543"/>
      <c r="AK91" s="41"/>
      <c r="AL91" s="41"/>
      <c r="AM91" s="41"/>
      <c r="AN91" s="543"/>
      <c r="AO91" s="42"/>
      <c r="AP91" s="42"/>
      <c r="AQ91" s="43"/>
      <c r="AR91" s="43"/>
      <c r="AS91" s="768"/>
    </row>
    <row r="92" spans="1:45" s="1" customFormat="1" ht="24" customHeight="1" x14ac:dyDescent="0.25">
      <c r="A92" s="528"/>
      <c r="B92" s="803"/>
      <c r="C92" s="491"/>
      <c r="D92" s="516" t="s">
        <v>488</v>
      </c>
      <c r="E92" s="86"/>
      <c r="F92" s="310"/>
      <c r="G92" s="33"/>
      <c r="H92" s="34"/>
      <c r="I92" s="88"/>
      <c r="J92" s="88"/>
      <c r="K92" s="88"/>
      <c r="L92" s="88"/>
      <c r="M92" s="88"/>
      <c r="N92" s="36"/>
      <c r="O92" s="36"/>
      <c r="P92" s="36"/>
      <c r="Q92" s="36"/>
      <c r="R92" s="36"/>
      <c r="S92" s="110"/>
      <c r="T92" s="34"/>
      <c r="U92" s="88"/>
      <c r="V92" s="36"/>
      <c r="W92" s="37"/>
      <c r="X92" s="36"/>
      <c r="Y92" s="38"/>
      <c r="Z92" s="39"/>
      <c r="AA92" s="39"/>
      <c r="AB92" s="39"/>
      <c r="AC92" s="39"/>
      <c r="AD92" s="39"/>
      <c r="AE92" s="171"/>
      <c r="AF92" s="40"/>
      <c r="AG92" s="43"/>
      <c r="AH92" s="543"/>
      <c r="AI92" s="41"/>
      <c r="AJ92" s="543"/>
      <c r="AK92" s="41"/>
      <c r="AL92" s="41"/>
      <c r="AM92" s="41"/>
      <c r="AN92" s="543"/>
      <c r="AO92" s="42"/>
      <c r="AP92" s="42"/>
      <c r="AQ92" s="43"/>
      <c r="AR92" s="43"/>
      <c r="AS92" s="768"/>
    </row>
    <row r="93" spans="1:45" s="1" customFormat="1" ht="24" customHeight="1" x14ac:dyDescent="0.25">
      <c r="A93" s="528">
        <v>31</v>
      </c>
      <c r="B93" s="803"/>
      <c r="C93" s="491" t="s">
        <v>489</v>
      </c>
      <c r="D93" s="516" t="s">
        <v>490</v>
      </c>
      <c r="E93" s="86" t="s">
        <v>522</v>
      </c>
      <c r="F93" s="310"/>
      <c r="G93" s="33"/>
      <c r="H93" s="34"/>
      <c r="I93" s="88"/>
      <c r="J93" s="88"/>
      <c r="K93" s="88"/>
      <c r="L93" s="88"/>
      <c r="M93" s="88"/>
      <c r="N93" s="36"/>
      <c r="O93" s="36"/>
      <c r="P93" s="36"/>
      <c r="Q93" s="36"/>
      <c r="R93" s="36"/>
      <c r="S93" s="110"/>
      <c r="T93" s="34"/>
      <c r="U93" s="88"/>
      <c r="V93" s="36"/>
      <c r="W93" s="37"/>
      <c r="X93" s="36"/>
      <c r="Y93" s="38"/>
      <c r="Z93" s="39"/>
      <c r="AA93" s="39" t="s">
        <v>527</v>
      </c>
      <c r="AB93" s="39">
        <v>98222</v>
      </c>
      <c r="AC93" s="39"/>
      <c r="AD93" s="39"/>
      <c r="AE93" s="171"/>
      <c r="AF93" s="40"/>
      <c r="AG93" s="43"/>
      <c r="AH93" s="543"/>
      <c r="AI93" s="41"/>
      <c r="AJ93" s="543"/>
      <c r="AK93" s="41"/>
      <c r="AL93" s="41"/>
      <c r="AM93" s="41"/>
      <c r="AN93" s="543"/>
      <c r="AO93" s="42"/>
      <c r="AP93" s="42"/>
      <c r="AQ93" s="43"/>
      <c r="AR93" s="43"/>
      <c r="AS93" s="768"/>
    </row>
    <row r="94" spans="1:45" s="1" customFormat="1" ht="24" customHeight="1" x14ac:dyDescent="0.25">
      <c r="A94" s="528"/>
      <c r="B94" s="804"/>
      <c r="C94" s="491"/>
      <c r="D94" s="516" t="s">
        <v>491</v>
      </c>
      <c r="E94" s="86"/>
      <c r="F94" s="310">
        <v>2</v>
      </c>
      <c r="G94" s="33" t="s">
        <v>157</v>
      </c>
      <c r="H94" s="34">
        <v>145400</v>
      </c>
      <c r="I94" s="88"/>
      <c r="J94" s="88"/>
      <c r="K94" s="88"/>
      <c r="L94" s="88"/>
      <c r="M94" s="88"/>
      <c r="N94" s="36"/>
      <c r="O94" s="36"/>
      <c r="P94" s="36"/>
      <c r="Q94" s="36">
        <v>1</v>
      </c>
      <c r="R94" s="36">
        <v>72700</v>
      </c>
      <c r="S94" s="110">
        <v>1</v>
      </c>
      <c r="T94" s="34">
        <v>72700</v>
      </c>
      <c r="U94" s="88"/>
      <c r="V94" s="36"/>
      <c r="W94" s="37"/>
      <c r="X94" s="36"/>
      <c r="Y94" s="38"/>
      <c r="Z94" s="39"/>
      <c r="AA94" s="39"/>
      <c r="AB94" s="39"/>
      <c r="AC94" s="39" t="s">
        <v>527</v>
      </c>
      <c r="AD94" s="39">
        <v>1750</v>
      </c>
      <c r="AE94" s="171"/>
      <c r="AF94" s="40"/>
      <c r="AG94" s="43"/>
      <c r="AH94" s="543"/>
      <c r="AI94" s="41"/>
      <c r="AJ94" s="543"/>
      <c r="AK94" s="41"/>
      <c r="AL94" s="41"/>
      <c r="AM94" s="41"/>
      <c r="AN94" s="543"/>
      <c r="AO94" s="42"/>
      <c r="AP94" s="42">
        <f>AD94/R94*100</f>
        <v>2.407152682255846</v>
      </c>
      <c r="AQ94" s="43"/>
      <c r="AR94" s="43"/>
      <c r="AS94" s="768"/>
    </row>
    <row r="95" spans="1:45" s="1" customFormat="1" ht="12.75" x14ac:dyDescent="0.25">
      <c r="A95" s="755" t="s">
        <v>45</v>
      </c>
      <c r="B95" s="756"/>
      <c r="C95" s="756"/>
      <c r="D95" s="756"/>
      <c r="E95" s="756"/>
      <c r="F95" s="756"/>
      <c r="G95" s="756"/>
      <c r="H95" s="756"/>
      <c r="I95" s="756"/>
      <c r="J95" s="756"/>
      <c r="K95" s="756"/>
      <c r="L95" s="756"/>
      <c r="M95" s="756"/>
      <c r="N95" s="756"/>
      <c r="O95" s="756"/>
      <c r="P95" s="756"/>
      <c r="Q95" s="756"/>
      <c r="R95" s="756"/>
      <c r="S95" s="756"/>
      <c r="T95" s="756"/>
      <c r="U95" s="63">
        <f>U81</f>
        <v>1</v>
      </c>
      <c r="V95" s="64">
        <f>V81/T81*100</f>
        <v>42.735135135135131</v>
      </c>
      <c r="W95" s="65">
        <f>W81</f>
        <v>1</v>
      </c>
      <c r="X95" s="66">
        <f>X81/T81*100</f>
        <v>91.060180180180183</v>
      </c>
      <c r="Y95" s="67">
        <f>Y81</f>
        <v>0</v>
      </c>
      <c r="Z95" s="66">
        <f>Z81/T81*100</f>
        <v>24.565045045045046</v>
      </c>
      <c r="AA95" s="66"/>
      <c r="AB95" s="66">
        <f>AB81/T81*100</f>
        <v>138.86054054054054</v>
      </c>
      <c r="AC95" s="66"/>
      <c r="AD95" s="66"/>
      <c r="AE95" s="66">
        <f>AE81</f>
        <v>0</v>
      </c>
      <c r="AF95" s="65">
        <f>AF81/T81*100</f>
        <v>0</v>
      </c>
      <c r="AG95" s="67">
        <f>(U95+W95+Y95+AE95)</f>
        <v>2</v>
      </c>
      <c r="AH95" s="66">
        <f>V95+X95+Z95+AF95</f>
        <v>158.36036036036037</v>
      </c>
      <c r="AI95" s="113"/>
      <c r="AJ95" s="113"/>
      <c r="AK95" s="113"/>
      <c r="AL95" s="113"/>
      <c r="AM95" s="113"/>
      <c r="AN95" s="113"/>
      <c r="AO95" s="114"/>
      <c r="AP95" s="114"/>
      <c r="AQ95" s="115">
        <f>SUM(AQ84:AQ94)/8</f>
        <v>0</v>
      </c>
      <c r="AR95" s="115">
        <f>SUM(AR84:AR94)/8</f>
        <v>0</v>
      </c>
      <c r="AS95" s="70"/>
    </row>
    <row r="96" spans="1:45" s="1" customFormat="1" ht="12.75" x14ac:dyDescent="0.25">
      <c r="A96" s="755" t="s">
        <v>46</v>
      </c>
      <c r="B96" s="756"/>
      <c r="C96" s="756"/>
      <c r="D96" s="756"/>
      <c r="E96" s="756"/>
      <c r="F96" s="756"/>
      <c r="G96" s="756"/>
      <c r="H96" s="756"/>
      <c r="I96" s="756"/>
      <c r="J96" s="756"/>
      <c r="K96" s="756"/>
      <c r="L96" s="756"/>
      <c r="M96" s="756"/>
      <c r="N96" s="756"/>
      <c r="O96" s="756"/>
      <c r="P96" s="756"/>
      <c r="Q96" s="756"/>
      <c r="R96" s="756"/>
      <c r="S96" s="756"/>
      <c r="T96" s="756"/>
      <c r="U96" s="71"/>
      <c r="V96" s="71"/>
      <c r="W96" s="65" t="s">
        <v>56</v>
      </c>
      <c r="X96" s="71" t="s">
        <v>51</v>
      </c>
      <c r="Y96" s="67"/>
      <c r="Z96" s="71"/>
      <c r="AA96" s="71"/>
      <c r="AB96" s="71"/>
      <c r="AC96" s="71"/>
      <c r="AD96" s="71"/>
      <c r="AE96" s="71"/>
      <c r="AF96" s="72"/>
      <c r="AG96" s="67" t="s">
        <v>56</v>
      </c>
      <c r="AH96" s="71" t="s">
        <v>51</v>
      </c>
      <c r="AI96" s="71"/>
      <c r="AJ96" s="71"/>
      <c r="AK96" s="71"/>
      <c r="AL96" s="71"/>
      <c r="AM96" s="71"/>
      <c r="AN96" s="71"/>
      <c r="AO96" s="71"/>
      <c r="AP96" s="68"/>
      <c r="AQ96" s="68"/>
      <c r="AR96" s="68"/>
      <c r="AS96" s="70"/>
    </row>
    <row r="97" spans="1:45" s="1" customFormat="1" x14ac:dyDescent="0.25">
      <c r="A97" s="468" t="s">
        <v>325</v>
      </c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8"/>
      <c r="V97" s="329"/>
      <c r="W97" s="330"/>
      <c r="X97" s="329"/>
      <c r="Y97" s="331"/>
      <c r="Z97" s="329"/>
      <c r="AA97" s="329"/>
      <c r="AB97" s="329"/>
      <c r="AC97" s="329"/>
      <c r="AD97" s="329"/>
      <c r="AE97" s="332"/>
      <c r="AF97" s="333"/>
      <c r="AG97" s="334"/>
      <c r="AH97" s="335">
        <f>AP81+AP67+AP60+AP55+AP50+AP43+AP12</f>
        <v>1640.3239678083264</v>
      </c>
      <c r="AI97" s="335"/>
      <c r="AJ97" s="335"/>
      <c r="AK97" s="335"/>
      <c r="AL97" s="335"/>
      <c r="AM97" s="335"/>
      <c r="AN97" s="335"/>
      <c r="AO97" s="336"/>
      <c r="AP97" s="336"/>
      <c r="AQ97" s="337"/>
      <c r="AR97" s="337"/>
      <c r="AS97" s="338"/>
    </row>
    <row r="98" spans="1:45" s="1" customFormat="1" ht="12.75" x14ac:dyDescent="0.25">
      <c r="A98" s="468" t="s">
        <v>326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39" t="e">
        <f>(U95+#REF!+#REF!+#REF!+U75+U65+#REF!+U58+U53+U48+U41)/11</f>
        <v>#REF!</v>
      </c>
      <c r="V98" s="339">
        <f>(V95+V75+V65+V58+V53+V48+V41)/8</f>
        <v>57.62128704722668</v>
      </c>
      <c r="W98" s="340" t="e">
        <f>(W95+#REF!+#REF!+#REF!+W75+W65+#REF!+W58+W53+W48+W41)/11</f>
        <v>#REF!</v>
      </c>
      <c r="X98" s="339">
        <f>(X95+X75+X65+X58+X53+X48+X41)/7</f>
        <v>86.049149917197568</v>
      </c>
      <c r="Y98" s="341" t="e">
        <f>(Y95+#REF!+#REF!+#REF!+Y75+Y65+#REF!+Y58+Y53+Y48+Y41)/11</f>
        <v>#REF!</v>
      </c>
      <c r="Z98" s="619">
        <f>(Z95+Z75+Z65+Z58+Z53+Z48+Z41)/7</f>
        <v>158.81308722490141</v>
      </c>
      <c r="AA98" s="339"/>
      <c r="AB98" s="339">
        <f>(AB95+AB75+AB65+AB58+AB53+AB48+AB41)/7</f>
        <v>113.11344507533713</v>
      </c>
      <c r="AC98" s="339"/>
      <c r="AD98" s="339"/>
      <c r="AE98" s="339" t="e">
        <f>(AE95+#REF!+#REF!+#REF!+AE75+AE65+#REF!+AE58+AE53+AE48+AE41)/11</f>
        <v>#REF!</v>
      </c>
      <c r="AF98" s="340" t="e">
        <f>(AF95+#REF!+#REF!+#REF!+AF75+AF65+#REF!+AF58+AF53+AF48+AF41)/11</f>
        <v>#REF!</v>
      </c>
      <c r="AG98" s="341" t="e">
        <f>(AG95+#REF!+#REF!+#REF!+AG75+AG65+#REF!+AG58+AG53+AG48+AG41)/11</f>
        <v>#REF!</v>
      </c>
      <c r="AH98" s="339">
        <f>AH97/T101*100</f>
        <v>0.11278180350476283</v>
      </c>
      <c r="AI98" s="339"/>
      <c r="AJ98" s="339"/>
      <c r="AK98" s="339"/>
      <c r="AL98" s="339"/>
      <c r="AM98" s="339"/>
      <c r="AN98" s="339"/>
      <c r="AO98" s="68"/>
      <c r="AP98" s="68"/>
      <c r="AQ98" s="342" t="e">
        <f>(AQ95+#REF!+#REF!+#REF!+AQ75+AQ65+#REF!+AQ58+AQ53+AQ48+AQ41)/11</f>
        <v>#REF!</v>
      </c>
      <c r="AR98" s="342" t="e">
        <f>(AR95+#REF!+#REF!+#REF!+AR75+AR65+#REF!+AR58+AR53+AR48+AR41)/11</f>
        <v>#REF!</v>
      </c>
      <c r="AS98" s="70"/>
    </row>
    <row r="99" spans="1:45" s="1" customFormat="1" ht="12.75" x14ac:dyDescent="0.25">
      <c r="A99" s="468" t="s">
        <v>327</v>
      </c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43"/>
      <c r="V99" s="343"/>
      <c r="W99" s="344"/>
      <c r="X99" s="343"/>
      <c r="Y99" s="345"/>
      <c r="Z99" s="343"/>
      <c r="AA99" s="343"/>
      <c r="AB99" s="343"/>
      <c r="AC99" s="343"/>
      <c r="AD99" s="343"/>
      <c r="AE99" s="343"/>
      <c r="AF99" s="344"/>
      <c r="AG99" s="345"/>
      <c r="AH99" s="343"/>
      <c r="AI99" s="343"/>
      <c r="AJ99" s="343"/>
      <c r="AK99" s="343"/>
      <c r="AL99" s="343"/>
      <c r="AM99" s="343"/>
      <c r="AN99" s="343"/>
      <c r="AO99" s="346"/>
      <c r="AP99" s="346"/>
      <c r="AQ99" s="347"/>
      <c r="AR99" s="347"/>
      <c r="AS99" s="348"/>
    </row>
    <row r="100" spans="1:45" s="1" customFormat="1" ht="13.5" thickBot="1" x14ac:dyDescent="0.3">
      <c r="A100" s="468" t="s">
        <v>328</v>
      </c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49" t="s">
        <v>51</v>
      </c>
      <c r="V100" s="349" t="s">
        <v>51</v>
      </c>
      <c r="W100" s="350" t="s">
        <v>47</v>
      </c>
      <c r="X100" s="349" t="s">
        <v>56</v>
      </c>
      <c r="Y100" s="351"/>
      <c r="Z100" s="349"/>
      <c r="AA100" s="349"/>
      <c r="AB100" s="349"/>
      <c r="AC100" s="349"/>
      <c r="AD100" s="349"/>
      <c r="AE100" s="349"/>
      <c r="AF100" s="352"/>
      <c r="AG100" s="351" t="s">
        <v>47</v>
      </c>
      <c r="AH100" s="349" t="s">
        <v>51</v>
      </c>
      <c r="AI100" s="349"/>
      <c r="AJ100" s="349"/>
      <c r="AK100" s="349"/>
      <c r="AL100" s="349"/>
      <c r="AM100" s="349"/>
      <c r="AN100" s="349"/>
      <c r="AO100" s="353"/>
      <c r="AP100" s="353"/>
      <c r="AQ100" s="353"/>
      <c r="AR100" s="353"/>
      <c r="AS100" s="354"/>
    </row>
    <row r="101" spans="1:45" s="358" customFormat="1" x14ac:dyDescent="0.25">
      <c r="A101" s="757" t="s">
        <v>57</v>
      </c>
      <c r="B101" s="758"/>
      <c r="C101" s="758"/>
      <c r="D101" s="758"/>
      <c r="E101" s="758"/>
      <c r="F101" s="758"/>
      <c r="G101" s="758"/>
      <c r="H101" s="758"/>
      <c r="I101" s="758"/>
      <c r="J101" s="758"/>
      <c r="K101" s="758"/>
      <c r="L101" s="758"/>
      <c r="M101" s="758"/>
      <c r="N101" s="758"/>
      <c r="O101" s="758"/>
      <c r="P101" s="758"/>
      <c r="Q101" s="758"/>
      <c r="R101" s="758"/>
      <c r="S101" s="759"/>
      <c r="T101" s="335">
        <f>R81+R67+R60+R55+R50+R43+R12</f>
        <v>1454422.537</v>
      </c>
      <c r="U101" s="355"/>
      <c r="V101" s="355"/>
      <c r="W101" s="355"/>
      <c r="X101" s="355"/>
      <c r="Y101" s="355"/>
      <c r="Z101" s="355"/>
      <c r="AA101" s="355"/>
      <c r="AB101" s="355"/>
      <c r="AC101" s="355"/>
      <c r="AD101" s="355"/>
      <c r="AE101" s="355"/>
      <c r="AF101" s="355"/>
      <c r="AG101" s="355"/>
      <c r="AH101" s="355"/>
      <c r="AI101" s="355"/>
      <c r="AJ101" s="355"/>
      <c r="AK101" s="355"/>
      <c r="AL101" s="355"/>
      <c r="AM101" s="355"/>
      <c r="AN101" s="355"/>
      <c r="AO101" s="356"/>
      <c r="AP101" s="356"/>
      <c r="AQ101" s="356"/>
      <c r="AR101" s="356"/>
      <c r="AS101" s="357"/>
    </row>
    <row r="102" spans="1:45" s="358" customFormat="1" ht="12.75" x14ac:dyDescent="0.25">
      <c r="A102" s="760" t="s">
        <v>329</v>
      </c>
      <c r="B102" s="761"/>
      <c r="C102" s="761"/>
      <c r="D102" s="761"/>
      <c r="E102" s="761"/>
      <c r="F102" s="761"/>
      <c r="G102" s="761"/>
      <c r="H102" s="761"/>
      <c r="I102" s="761"/>
      <c r="J102" s="761"/>
      <c r="K102" s="761"/>
      <c r="L102" s="761"/>
      <c r="M102" s="761"/>
      <c r="N102" s="761"/>
      <c r="O102" s="761"/>
      <c r="P102" s="761"/>
      <c r="Q102" s="761"/>
      <c r="R102" s="761"/>
      <c r="S102" s="761"/>
      <c r="T102" s="761"/>
      <c r="U102" s="355"/>
      <c r="V102" s="355"/>
      <c r="W102" s="355"/>
      <c r="X102" s="355"/>
      <c r="Y102" s="355"/>
      <c r="Z102" s="355"/>
      <c r="AA102" s="355"/>
      <c r="AB102" s="355"/>
      <c r="AC102" s="355"/>
      <c r="AD102" s="355"/>
      <c r="AE102" s="355"/>
      <c r="AF102" s="355"/>
      <c r="AG102" s="355"/>
      <c r="AH102" s="355"/>
      <c r="AI102" s="355"/>
      <c r="AJ102" s="355"/>
      <c r="AK102" s="355"/>
      <c r="AL102" s="355"/>
      <c r="AM102" s="355"/>
      <c r="AN102" s="355"/>
      <c r="AO102" s="356"/>
      <c r="AP102" s="356"/>
      <c r="AQ102" s="356"/>
      <c r="AR102" s="356"/>
      <c r="AS102" s="357"/>
    </row>
    <row r="103" spans="1:45" s="358" customFormat="1" ht="13.5" thickBot="1" x14ac:dyDescent="0.3">
      <c r="A103" s="762" t="s">
        <v>330</v>
      </c>
      <c r="B103" s="763"/>
      <c r="C103" s="763"/>
      <c r="D103" s="763"/>
      <c r="E103" s="763"/>
      <c r="F103" s="763"/>
      <c r="G103" s="763"/>
      <c r="H103" s="763"/>
      <c r="I103" s="763"/>
      <c r="J103" s="763"/>
      <c r="K103" s="763"/>
      <c r="L103" s="763"/>
      <c r="M103" s="763"/>
      <c r="N103" s="763"/>
      <c r="O103" s="763"/>
      <c r="P103" s="763"/>
      <c r="Q103" s="763"/>
      <c r="R103" s="763"/>
      <c r="S103" s="763"/>
      <c r="T103" s="763"/>
      <c r="U103" s="355"/>
      <c r="V103" s="355"/>
      <c r="W103" s="355"/>
      <c r="X103" s="355"/>
      <c r="Y103" s="355"/>
      <c r="Z103" s="355"/>
      <c r="AA103" s="355"/>
      <c r="AB103" s="355"/>
      <c r="AC103" s="355"/>
      <c r="AD103" s="355"/>
      <c r="AE103" s="355"/>
      <c r="AF103" s="355"/>
      <c r="AG103" s="355"/>
      <c r="AH103" s="355"/>
      <c r="AI103" s="355"/>
      <c r="AJ103" s="355"/>
      <c r="AK103" s="355"/>
      <c r="AL103" s="355"/>
      <c r="AM103" s="355"/>
      <c r="AN103" s="355"/>
      <c r="AO103" s="356"/>
      <c r="AP103" s="356"/>
      <c r="AQ103" s="356"/>
      <c r="AR103" s="356"/>
      <c r="AS103" s="357"/>
    </row>
    <row r="104" spans="1:45" s="358" customFormat="1" ht="12.75" x14ac:dyDescent="0.25">
      <c r="A104" s="359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5"/>
      <c r="V104" s="355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5"/>
      <c r="AG104" s="355"/>
      <c r="AH104" s="355"/>
      <c r="AI104" s="355"/>
      <c r="AJ104" s="355"/>
      <c r="AK104" s="355"/>
      <c r="AL104" s="355"/>
      <c r="AM104" s="355"/>
      <c r="AN104" s="355"/>
      <c r="AO104" s="356"/>
      <c r="AP104" s="356"/>
      <c r="AQ104" s="356"/>
      <c r="AR104" s="356"/>
      <c r="AS104" s="357"/>
    </row>
    <row r="105" spans="1:45" s="358" customFormat="1" ht="12.75" x14ac:dyDescent="0.25">
      <c r="A105" s="359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5"/>
      <c r="V105" s="355"/>
      <c r="W105" s="355"/>
      <c r="X105" s="355"/>
      <c r="Y105" s="355"/>
      <c r="Z105" s="355"/>
      <c r="AA105" s="355"/>
      <c r="AB105" s="355"/>
      <c r="AC105" s="355"/>
      <c r="AD105" s="355"/>
      <c r="AE105" s="355"/>
      <c r="AF105" s="355"/>
      <c r="AG105" s="355"/>
      <c r="AH105" s="355"/>
      <c r="AI105" s="355"/>
      <c r="AJ105" s="355"/>
      <c r="AK105" s="355"/>
      <c r="AL105" s="355"/>
      <c r="AM105" s="355"/>
      <c r="AN105" s="355"/>
      <c r="AO105" s="356"/>
      <c r="AP105" s="356"/>
      <c r="AQ105" s="356"/>
      <c r="AR105" s="356"/>
      <c r="AS105" s="357"/>
    </row>
    <row r="106" spans="1:45" s="358" customFormat="1" ht="12.75" x14ac:dyDescent="0.25">
      <c r="A106" s="359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5"/>
      <c r="V106" s="355"/>
      <c r="W106" s="355"/>
      <c r="X106" s="355"/>
      <c r="Y106" s="355"/>
      <c r="Z106" s="355"/>
      <c r="AG106" s="355"/>
      <c r="AH106" s="355"/>
      <c r="AI106" s="355"/>
      <c r="AJ106" s="355"/>
      <c r="AK106" s="355"/>
      <c r="AL106" s="355"/>
      <c r="AM106" s="355"/>
      <c r="AN106" s="355"/>
      <c r="AO106" s="356"/>
      <c r="AP106" s="356"/>
      <c r="AQ106" s="356"/>
      <c r="AR106" s="356"/>
      <c r="AS106" s="357"/>
    </row>
    <row r="107" spans="1:45" s="358" customFormat="1" ht="18.75" x14ac:dyDescent="0.25">
      <c r="A107" s="359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5"/>
      <c r="V107" s="355"/>
      <c r="W107" s="355"/>
      <c r="X107" s="355"/>
      <c r="Y107" s="355"/>
      <c r="Z107" s="355"/>
      <c r="AG107" s="355"/>
      <c r="AH107" s="819" t="s">
        <v>541</v>
      </c>
      <c r="AI107" s="819"/>
      <c r="AJ107" s="819"/>
      <c r="AK107" s="819"/>
      <c r="AL107" s="819"/>
      <c r="AM107" s="819"/>
      <c r="AN107" s="355"/>
      <c r="AO107" s="356"/>
      <c r="AP107" s="356"/>
      <c r="AQ107" s="356"/>
      <c r="AR107" s="356"/>
      <c r="AS107" s="357"/>
    </row>
    <row r="108" spans="1:45" s="358" customFormat="1" ht="18.75" x14ac:dyDescent="0.3">
      <c r="A108" s="359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5"/>
      <c r="V108" s="355"/>
      <c r="W108" s="355"/>
      <c r="X108" s="355"/>
      <c r="Y108" s="355"/>
      <c r="Z108" s="355"/>
      <c r="AG108" s="355"/>
      <c r="AH108" s="820" t="s">
        <v>546</v>
      </c>
      <c r="AI108" s="820"/>
      <c r="AJ108" s="820"/>
      <c r="AK108" s="820"/>
      <c r="AL108" s="820"/>
      <c r="AM108" s="820"/>
      <c r="AN108" s="355"/>
      <c r="AO108" s="356"/>
      <c r="AP108" s="356"/>
      <c r="AQ108" s="356"/>
      <c r="AR108" s="356"/>
      <c r="AS108" s="357"/>
    </row>
    <row r="109" spans="1:45" s="358" customFormat="1" ht="18.75" x14ac:dyDescent="0.3">
      <c r="A109" s="359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5"/>
      <c r="V109" s="355"/>
      <c r="W109" s="355"/>
      <c r="X109" s="355"/>
      <c r="Y109" s="355"/>
      <c r="Z109" s="355"/>
      <c r="AG109" s="355"/>
      <c r="AH109" s="620"/>
      <c r="AI109" s="620"/>
      <c r="AJ109" s="620"/>
      <c r="AK109" s="620"/>
      <c r="AL109" s="621"/>
      <c r="AM109" s="355"/>
      <c r="AN109" s="355"/>
      <c r="AO109" s="356"/>
      <c r="AP109" s="356"/>
      <c r="AQ109" s="356"/>
      <c r="AR109" s="356"/>
      <c r="AS109" s="357"/>
    </row>
    <row r="110" spans="1:45" s="358" customFormat="1" ht="18.75" x14ac:dyDescent="0.3">
      <c r="A110" s="359"/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5"/>
      <c r="V110" s="355"/>
      <c r="W110" s="355"/>
      <c r="X110" s="355"/>
      <c r="Y110" s="355"/>
      <c r="Z110" s="355"/>
      <c r="AG110" s="355"/>
      <c r="AH110" s="620"/>
      <c r="AI110" s="620"/>
      <c r="AJ110" s="620"/>
      <c r="AK110" s="620"/>
      <c r="AL110" s="621"/>
      <c r="AM110" s="355"/>
      <c r="AN110" s="355"/>
      <c r="AO110" s="356"/>
      <c r="AP110" s="356"/>
      <c r="AQ110" s="356"/>
      <c r="AR110" s="356"/>
      <c r="AS110" s="357"/>
    </row>
    <row r="111" spans="1:45" s="358" customFormat="1" ht="18.75" x14ac:dyDescent="0.3">
      <c r="A111" s="359"/>
      <c r="B111" s="359"/>
      <c r="C111" s="359"/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5"/>
      <c r="V111" s="355"/>
      <c r="W111" s="355"/>
      <c r="X111" s="355"/>
      <c r="Y111" s="355"/>
      <c r="Z111" s="355"/>
      <c r="AG111" s="355"/>
      <c r="AH111" s="620"/>
      <c r="AI111" s="620"/>
      <c r="AJ111" s="620"/>
      <c r="AK111" s="620"/>
      <c r="AL111" s="621"/>
      <c r="AM111" s="355"/>
      <c r="AN111" s="355"/>
      <c r="AO111" s="356"/>
      <c r="AP111" s="356"/>
      <c r="AQ111" s="356"/>
      <c r="AR111" s="356"/>
      <c r="AS111" s="357"/>
    </row>
    <row r="112" spans="1:45" s="358" customFormat="1" ht="18.75" x14ac:dyDescent="0.3">
      <c r="A112" s="359"/>
      <c r="B112" s="359"/>
      <c r="C112" s="359"/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5"/>
      <c r="V112" s="355"/>
      <c r="W112" s="355"/>
      <c r="X112" s="355"/>
      <c r="Y112" s="355"/>
      <c r="Z112" s="355"/>
      <c r="AG112" s="355"/>
      <c r="AH112" s="825" t="s">
        <v>562</v>
      </c>
      <c r="AI112" s="825"/>
      <c r="AJ112" s="825"/>
      <c r="AK112" s="825"/>
      <c r="AL112" s="825"/>
      <c r="AM112" s="825"/>
      <c r="AN112" s="355"/>
      <c r="AO112" s="356"/>
      <c r="AP112" s="356"/>
      <c r="AQ112" s="356"/>
      <c r="AR112" s="356"/>
      <c r="AS112" s="357"/>
    </row>
    <row r="113" spans="1:45" s="358" customFormat="1" ht="18.75" x14ac:dyDescent="0.3">
      <c r="A113" s="359"/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820" t="s">
        <v>563</v>
      </c>
      <c r="AI113" s="820"/>
      <c r="AJ113" s="820"/>
      <c r="AK113" s="820"/>
      <c r="AL113" s="820"/>
      <c r="AM113" s="820"/>
      <c r="AN113" s="355"/>
      <c r="AO113" s="356"/>
      <c r="AP113" s="356"/>
      <c r="AQ113" s="356"/>
      <c r="AR113" s="356"/>
      <c r="AS113" s="357"/>
    </row>
    <row r="114" spans="1:45" s="358" customFormat="1" ht="12.75" x14ac:dyDescent="0.25">
      <c r="A114" s="359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5"/>
      <c r="V114" s="355"/>
      <c r="W114" s="355"/>
      <c r="X114" s="355"/>
      <c r="Y114" s="355"/>
      <c r="Z114" s="355"/>
      <c r="AA114" s="355"/>
      <c r="AB114" s="355"/>
      <c r="AC114" s="355"/>
      <c r="AD114" s="355"/>
      <c r="AE114" s="355"/>
      <c r="AF114" s="355"/>
      <c r="AG114" s="355"/>
      <c r="AH114" s="355"/>
      <c r="AI114" s="355"/>
      <c r="AJ114" s="355"/>
      <c r="AK114" s="355"/>
      <c r="AL114" s="355"/>
      <c r="AM114" s="355"/>
      <c r="AN114" s="355"/>
      <c r="AO114" s="356"/>
      <c r="AP114" s="356"/>
      <c r="AQ114" s="356"/>
      <c r="AR114" s="356"/>
      <c r="AS114" s="357"/>
    </row>
    <row r="115" spans="1:45" s="358" customFormat="1" ht="12.75" x14ac:dyDescent="0.25">
      <c r="A115" s="359"/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5"/>
      <c r="V115" s="355"/>
      <c r="W115" s="355"/>
      <c r="X115" s="355"/>
      <c r="Y115" s="355"/>
      <c r="Z115" s="355"/>
      <c r="AA115" s="355"/>
      <c r="AB115" s="355"/>
      <c r="AC115" s="355"/>
      <c r="AD115" s="355"/>
      <c r="AE115" s="355"/>
      <c r="AF115" s="355"/>
      <c r="AG115" s="355"/>
      <c r="AH115" s="355"/>
      <c r="AI115" s="355"/>
      <c r="AJ115" s="355"/>
      <c r="AK115" s="355"/>
      <c r="AL115" s="355"/>
      <c r="AM115" s="355"/>
      <c r="AN115" s="355"/>
      <c r="AO115" s="356"/>
      <c r="AP115" s="356"/>
      <c r="AQ115" s="356"/>
      <c r="AR115" s="356"/>
      <c r="AS115" s="357"/>
    </row>
    <row r="116" spans="1:45" s="358" customFormat="1" ht="12.75" x14ac:dyDescent="0.25">
      <c r="A116" s="359"/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5"/>
      <c r="V116" s="355"/>
      <c r="W116" s="355"/>
      <c r="X116" s="355"/>
      <c r="Y116" s="355"/>
      <c r="Z116" s="355"/>
      <c r="AA116" s="355"/>
      <c r="AB116" s="355"/>
      <c r="AC116" s="355"/>
      <c r="AD116" s="355"/>
      <c r="AE116" s="355"/>
      <c r="AF116" s="355"/>
      <c r="AG116" s="355"/>
      <c r="AH116" s="355"/>
      <c r="AI116" s="355"/>
      <c r="AJ116" s="355"/>
      <c r="AK116" s="355"/>
      <c r="AL116" s="355"/>
      <c r="AM116" s="355"/>
      <c r="AN116" s="355"/>
      <c r="AO116" s="356"/>
      <c r="AP116" s="356"/>
      <c r="AQ116" s="356"/>
      <c r="AR116" s="356"/>
      <c r="AS116" s="357"/>
    </row>
    <row r="117" spans="1:45" s="358" customFormat="1" ht="12.75" x14ac:dyDescent="0.25">
      <c r="A117" s="359"/>
      <c r="B117" s="359"/>
      <c r="C117" s="359"/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5"/>
      <c r="V117" s="355"/>
      <c r="W117" s="355"/>
      <c r="X117" s="355"/>
      <c r="Y117" s="355"/>
      <c r="Z117" s="355"/>
      <c r="AA117" s="355"/>
      <c r="AB117" s="355"/>
      <c r="AC117" s="355"/>
      <c r="AD117" s="355"/>
      <c r="AE117" s="355"/>
      <c r="AF117" s="355"/>
      <c r="AG117" s="355"/>
      <c r="AH117" s="355"/>
      <c r="AI117" s="355"/>
      <c r="AJ117" s="355"/>
      <c r="AK117" s="355"/>
      <c r="AL117" s="355"/>
      <c r="AM117" s="355"/>
      <c r="AN117" s="355"/>
      <c r="AO117" s="356"/>
      <c r="AP117" s="356"/>
      <c r="AQ117" s="356"/>
      <c r="AR117" s="356"/>
      <c r="AS117" s="357"/>
    </row>
    <row r="118" spans="1:45" s="358" customFormat="1" ht="12.75" x14ac:dyDescent="0.25">
      <c r="A118" s="359"/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5"/>
      <c r="V118" s="355"/>
      <c r="W118" s="355"/>
      <c r="X118" s="355"/>
      <c r="Y118" s="355"/>
      <c r="Z118" s="355"/>
      <c r="AA118" s="355"/>
      <c r="AB118" s="355"/>
      <c r="AC118" s="355"/>
      <c r="AD118" s="355"/>
      <c r="AE118" s="355"/>
      <c r="AF118" s="355"/>
      <c r="AG118" s="355"/>
      <c r="AH118" s="355"/>
      <c r="AI118" s="355"/>
      <c r="AJ118" s="355"/>
      <c r="AK118" s="355"/>
      <c r="AL118" s="355"/>
      <c r="AM118" s="355"/>
      <c r="AN118" s="355"/>
      <c r="AO118" s="356"/>
      <c r="AP118" s="356"/>
      <c r="AQ118" s="356"/>
      <c r="AR118" s="356"/>
      <c r="AS118" s="357"/>
    </row>
    <row r="119" spans="1:45" s="358" customFormat="1" ht="12.75" x14ac:dyDescent="0.25">
      <c r="A119" s="359"/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  <c r="AJ119" s="355"/>
      <c r="AK119" s="355"/>
      <c r="AL119" s="355"/>
      <c r="AM119" s="355"/>
      <c r="AN119" s="355"/>
      <c r="AO119" s="356"/>
      <c r="AP119" s="356"/>
      <c r="AQ119" s="356"/>
      <c r="AR119" s="356"/>
      <c r="AS119" s="357"/>
    </row>
    <row r="120" spans="1:45" s="358" customFormat="1" ht="12.75" x14ac:dyDescent="0.25">
      <c r="A120" s="359"/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5"/>
      <c r="V120" s="355"/>
      <c r="W120" s="355"/>
      <c r="X120" s="355"/>
      <c r="Y120" s="355"/>
      <c r="Z120" s="355"/>
      <c r="AA120" s="355"/>
      <c r="AB120" s="355"/>
      <c r="AC120" s="355"/>
      <c r="AD120" s="355"/>
      <c r="AE120" s="355"/>
      <c r="AF120" s="355"/>
      <c r="AG120" s="355"/>
      <c r="AH120" s="355"/>
      <c r="AI120" s="355"/>
      <c r="AJ120" s="355"/>
      <c r="AK120" s="355"/>
      <c r="AL120" s="355"/>
      <c r="AM120" s="355"/>
      <c r="AN120" s="355"/>
      <c r="AO120" s="356"/>
      <c r="AP120" s="356"/>
      <c r="AQ120" s="356"/>
      <c r="AR120" s="356"/>
      <c r="AS120" s="357"/>
    </row>
    <row r="121" spans="1:45" s="358" customFormat="1" ht="12.75" x14ac:dyDescent="0.25">
      <c r="A121" s="359"/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5"/>
      <c r="AM121" s="355"/>
      <c r="AN121" s="355"/>
      <c r="AO121" s="356"/>
      <c r="AP121" s="356"/>
      <c r="AQ121" s="356"/>
      <c r="AR121" s="356"/>
      <c r="AS121" s="357"/>
    </row>
    <row r="122" spans="1:45" s="358" customFormat="1" ht="12.75" x14ac:dyDescent="0.25">
      <c r="A122" s="359"/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5"/>
      <c r="V122" s="355"/>
      <c r="W122" s="355"/>
      <c r="X122" s="355"/>
      <c r="Y122" s="355"/>
      <c r="Z122" s="355"/>
      <c r="AA122" s="355"/>
      <c r="AB122" s="355"/>
      <c r="AC122" s="355"/>
      <c r="AD122" s="355"/>
      <c r="AE122" s="355"/>
      <c r="AF122" s="355"/>
      <c r="AG122" s="355"/>
      <c r="AH122" s="355"/>
      <c r="AI122" s="355"/>
      <c r="AJ122" s="355"/>
      <c r="AK122" s="355"/>
      <c r="AL122" s="355"/>
      <c r="AM122" s="355"/>
      <c r="AN122" s="355"/>
      <c r="AO122" s="356"/>
      <c r="AP122" s="356"/>
      <c r="AQ122" s="356"/>
      <c r="AR122" s="356"/>
      <c r="AS122" s="357"/>
    </row>
    <row r="123" spans="1:45" s="358" customFormat="1" ht="12.75" x14ac:dyDescent="0.25">
      <c r="A123" s="359"/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5"/>
      <c r="V123" s="355"/>
      <c r="W123" s="355"/>
      <c r="X123" s="355"/>
      <c r="Y123" s="355"/>
      <c r="Z123" s="355"/>
      <c r="AA123" s="355"/>
      <c r="AB123" s="355"/>
      <c r="AC123" s="355"/>
      <c r="AD123" s="355"/>
      <c r="AE123" s="355"/>
      <c r="AF123" s="355"/>
      <c r="AG123" s="355"/>
      <c r="AH123" s="355"/>
      <c r="AI123" s="355"/>
      <c r="AJ123" s="355"/>
      <c r="AK123" s="355"/>
      <c r="AL123" s="355"/>
      <c r="AM123" s="355"/>
      <c r="AN123" s="355"/>
      <c r="AO123" s="356"/>
      <c r="AP123" s="356"/>
      <c r="AQ123" s="356"/>
      <c r="AR123" s="356"/>
      <c r="AS123" s="357"/>
    </row>
    <row r="124" spans="1:45" s="358" customFormat="1" ht="12.75" x14ac:dyDescent="0.25">
      <c r="A124" s="359"/>
      <c r="B124" s="359"/>
      <c r="C124" s="359"/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5"/>
      <c r="V124" s="355"/>
      <c r="W124" s="355"/>
      <c r="X124" s="355"/>
      <c r="Y124" s="355"/>
      <c r="Z124" s="355"/>
      <c r="AA124" s="355"/>
      <c r="AB124" s="355"/>
      <c r="AC124" s="355"/>
      <c r="AD124" s="355"/>
      <c r="AE124" s="355"/>
      <c r="AF124" s="355"/>
      <c r="AG124" s="355"/>
      <c r="AH124" s="355"/>
      <c r="AI124" s="355"/>
      <c r="AJ124" s="355"/>
      <c r="AK124" s="355"/>
      <c r="AL124" s="355"/>
      <c r="AM124" s="355"/>
      <c r="AN124" s="355"/>
      <c r="AO124" s="356"/>
      <c r="AP124" s="356"/>
      <c r="AQ124" s="356"/>
      <c r="AR124" s="356"/>
      <c r="AS124" s="357"/>
    </row>
    <row r="125" spans="1:45" s="358" customFormat="1" ht="12.75" x14ac:dyDescent="0.25">
      <c r="A125" s="359"/>
      <c r="B125" s="359"/>
      <c r="C125" s="359"/>
      <c r="D125" s="359"/>
      <c r="E125" s="359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5"/>
      <c r="V125" s="355"/>
      <c r="W125" s="355"/>
      <c r="X125" s="355"/>
      <c r="Y125" s="355"/>
      <c r="Z125" s="355"/>
      <c r="AA125" s="355"/>
      <c r="AB125" s="355"/>
      <c r="AC125" s="355"/>
      <c r="AD125" s="355"/>
      <c r="AE125" s="355"/>
      <c r="AF125" s="355"/>
      <c r="AG125" s="355"/>
      <c r="AH125" s="355"/>
      <c r="AI125" s="355"/>
      <c r="AJ125" s="355"/>
      <c r="AK125" s="355"/>
      <c r="AL125" s="355"/>
      <c r="AM125" s="355"/>
      <c r="AN125" s="355"/>
      <c r="AO125" s="356"/>
      <c r="AP125" s="356"/>
      <c r="AQ125" s="356"/>
      <c r="AR125" s="356"/>
      <c r="AS125" s="357"/>
    </row>
    <row r="126" spans="1:45" s="358" customFormat="1" ht="12.75" x14ac:dyDescent="0.25">
      <c r="A126" s="359"/>
      <c r="B126" s="359"/>
      <c r="C126" s="359"/>
      <c r="D126" s="359"/>
      <c r="E126" s="359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5"/>
      <c r="V126" s="355"/>
      <c r="W126" s="355"/>
      <c r="X126" s="355"/>
      <c r="Y126" s="355"/>
      <c r="Z126" s="355"/>
      <c r="AA126" s="355"/>
      <c r="AB126" s="355"/>
      <c r="AC126" s="355"/>
      <c r="AD126" s="355"/>
      <c r="AE126" s="355"/>
      <c r="AF126" s="355"/>
      <c r="AG126" s="355"/>
      <c r="AH126" s="355"/>
      <c r="AI126" s="355"/>
      <c r="AJ126" s="355"/>
      <c r="AK126" s="355"/>
      <c r="AL126" s="355"/>
      <c r="AM126" s="355"/>
      <c r="AN126" s="355"/>
      <c r="AO126" s="356"/>
      <c r="AP126" s="356"/>
      <c r="AQ126" s="356"/>
      <c r="AR126" s="356"/>
      <c r="AS126" s="357"/>
    </row>
    <row r="127" spans="1:45" s="358" customFormat="1" ht="12.75" x14ac:dyDescent="0.25">
      <c r="A127" s="359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5"/>
      <c r="V127" s="355"/>
      <c r="W127" s="355"/>
      <c r="X127" s="355"/>
      <c r="Y127" s="355"/>
      <c r="Z127" s="355"/>
      <c r="AA127" s="355"/>
      <c r="AB127" s="355"/>
      <c r="AC127" s="355"/>
      <c r="AD127" s="355"/>
      <c r="AE127" s="355"/>
      <c r="AF127" s="355"/>
      <c r="AG127" s="355"/>
      <c r="AH127" s="355"/>
      <c r="AI127" s="355"/>
      <c r="AJ127" s="355"/>
      <c r="AK127" s="355"/>
      <c r="AL127" s="355"/>
      <c r="AM127" s="355"/>
      <c r="AN127" s="355"/>
      <c r="AO127" s="356"/>
      <c r="AP127" s="356"/>
      <c r="AQ127" s="356"/>
      <c r="AR127" s="356"/>
      <c r="AS127" s="357"/>
    </row>
    <row r="128" spans="1:45" s="358" customFormat="1" ht="12.75" x14ac:dyDescent="0.25">
      <c r="A128" s="359"/>
      <c r="B128" s="359"/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5"/>
      <c r="V128" s="355"/>
      <c r="W128" s="355"/>
      <c r="X128" s="355"/>
      <c r="Y128" s="355"/>
      <c r="Z128" s="355"/>
      <c r="AA128" s="355"/>
      <c r="AB128" s="355"/>
      <c r="AC128" s="355"/>
      <c r="AD128" s="355"/>
      <c r="AE128" s="355"/>
      <c r="AF128" s="355"/>
      <c r="AG128" s="355"/>
      <c r="AH128" s="355"/>
      <c r="AI128" s="355"/>
      <c r="AJ128" s="355"/>
      <c r="AK128" s="355"/>
      <c r="AL128" s="355"/>
      <c r="AM128" s="355"/>
      <c r="AN128" s="355"/>
      <c r="AO128" s="356"/>
      <c r="AP128" s="356"/>
      <c r="AQ128" s="356"/>
      <c r="AR128" s="356"/>
      <c r="AS128" s="357"/>
    </row>
    <row r="129" spans="1:45" s="358" customFormat="1" ht="12.75" x14ac:dyDescent="0.25">
      <c r="A129" s="359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  <c r="AF129" s="355"/>
      <c r="AG129" s="355"/>
      <c r="AH129" s="355"/>
      <c r="AI129" s="355"/>
      <c r="AJ129" s="355"/>
      <c r="AK129" s="355"/>
      <c r="AL129" s="355"/>
      <c r="AM129" s="355"/>
      <c r="AN129" s="355"/>
      <c r="AO129" s="356"/>
      <c r="AP129" s="356"/>
      <c r="AQ129" s="356"/>
      <c r="AR129" s="356"/>
      <c r="AS129" s="357"/>
    </row>
    <row r="130" spans="1:45" s="358" customFormat="1" ht="12.75" x14ac:dyDescent="0.25">
      <c r="A130" s="359"/>
      <c r="B130" s="359"/>
      <c r="C130" s="359"/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5"/>
      <c r="V130" s="355"/>
      <c r="W130" s="355"/>
      <c r="X130" s="355"/>
      <c r="Y130" s="355"/>
      <c r="Z130" s="355"/>
      <c r="AA130" s="355"/>
      <c r="AB130" s="355"/>
      <c r="AC130" s="355"/>
      <c r="AD130" s="355"/>
      <c r="AE130" s="355"/>
      <c r="AF130" s="355"/>
      <c r="AG130" s="355"/>
      <c r="AH130" s="355"/>
      <c r="AI130" s="355"/>
      <c r="AJ130" s="355"/>
      <c r="AK130" s="355"/>
      <c r="AL130" s="355"/>
      <c r="AM130" s="355"/>
      <c r="AN130" s="355"/>
      <c r="AO130" s="356"/>
      <c r="AP130" s="356"/>
      <c r="AQ130" s="356"/>
      <c r="AR130" s="356"/>
      <c r="AS130" s="357"/>
    </row>
    <row r="131" spans="1:45" s="358" customFormat="1" ht="12.75" x14ac:dyDescent="0.25">
      <c r="A131" s="359"/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5"/>
      <c r="V131" s="355"/>
      <c r="W131" s="355"/>
      <c r="X131" s="355"/>
      <c r="Y131" s="355"/>
      <c r="Z131" s="355"/>
      <c r="AA131" s="355"/>
      <c r="AB131" s="355"/>
      <c r="AC131" s="355"/>
      <c r="AD131" s="355"/>
      <c r="AE131" s="355"/>
      <c r="AF131" s="355"/>
      <c r="AG131" s="355"/>
      <c r="AH131" s="355"/>
      <c r="AI131" s="355"/>
      <c r="AJ131" s="355"/>
      <c r="AK131" s="355"/>
      <c r="AL131" s="355"/>
      <c r="AM131" s="355"/>
      <c r="AN131" s="355"/>
      <c r="AO131" s="356"/>
      <c r="AP131" s="356"/>
      <c r="AQ131" s="356"/>
      <c r="AR131" s="356"/>
      <c r="AS131" s="357"/>
    </row>
    <row r="132" spans="1:45" s="358" customFormat="1" ht="12.75" x14ac:dyDescent="0.25">
      <c r="A132" s="359"/>
      <c r="B132" s="359"/>
      <c r="C132" s="359"/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355"/>
      <c r="V132" s="355"/>
      <c r="W132" s="355"/>
      <c r="X132" s="355"/>
      <c r="Y132" s="355"/>
      <c r="Z132" s="355"/>
      <c r="AA132" s="355"/>
      <c r="AB132" s="355"/>
      <c r="AC132" s="355"/>
      <c r="AD132" s="355"/>
      <c r="AE132" s="355"/>
      <c r="AF132" s="355"/>
      <c r="AG132" s="355"/>
      <c r="AH132" s="355"/>
      <c r="AI132" s="355"/>
      <c r="AJ132" s="355"/>
      <c r="AK132" s="355"/>
      <c r="AL132" s="355"/>
      <c r="AM132" s="355"/>
      <c r="AN132" s="355"/>
      <c r="AO132" s="356"/>
      <c r="AP132" s="356"/>
      <c r="AQ132" s="356"/>
      <c r="AR132" s="356"/>
      <c r="AS132" s="357"/>
    </row>
    <row r="133" spans="1:45" s="358" customFormat="1" ht="12.75" x14ac:dyDescent="0.25">
      <c r="A133" s="359"/>
      <c r="B133" s="359"/>
      <c r="C133" s="359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5"/>
      <c r="V133" s="355"/>
      <c r="W133" s="355"/>
      <c r="X133" s="355"/>
      <c r="Y133" s="355"/>
      <c r="Z133" s="355"/>
      <c r="AA133" s="355"/>
      <c r="AB133" s="355"/>
      <c r="AC133" s="355"/>
      <c r="AD133" s="355"/>
      <c r="AE133" s="355"/>
      <c r="AF133" s="355"/>
      <c r="AG133" s="355"/>
      <c r="AH133" s="355"/>
      <c r="AI133" s="355"/>
      <c r="AJ133" s="355"/>
      <c r="AK133" s="355"/>
      <c r="AL133" s="355"/>
      <c r="AM133" s="355"/>
      <c r="AN133" s="355"/>
      <c r="AO133" s="356"/>
      <c r="AP133" s="356"/>
      <c r="AQ133" s="356"/>
      <c r="AR133" s="356"/>
      <c r="AS133" s="357"/>
    </row>
    <row r="134" spans="1:45" s="358" customFormat="1" ht="12.75" x14ac:dyDescent="0.25">
      <c r="A134" s="359"/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  <c r="AJ134" s="355"/>
      <c r="AK134" s="355"/>
      <c r="AL134" s="355"/>
      <c r="AM134" s="355"/>
      <c r="AN134" s="355"/>
      <c r="AO134" s="356"/>
      <c r="AP134" s="356"/>
      <c r="AQ134" s="356"/>
      <c r="AR134" s="356"/>
      <c r="AS134" s="357"/>
    </row>
    <row r="135" spans="1:45" s="358" customFormat="1" ht="12.75" x14ac:dyDescent="0.25">
      <c r="A135" s="359"/>
      <c r="B135" s="359"/>
      <c r="C135" s="359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  <c r="AJ135" s="355"/>
      <c r="AK135" s="355"/>
      <c r="AL135" s="355"/>
      <c r="AM135" s="355"/>
      <c r="AN135" s="355"/>
      <c r="AO135" s="356"/>
      <c r="AP135" s="356"/>
      <c r="AQ135" s="356"/>
      <c r="AR135" s="356"/>
      <c r="AS135" s="357"/>
    </row>
    <row r="136" spans="1:45" s="358" customFormat="1" ht="12.75" x14ac:dyDescent="0.25">
      <c r="A136" s="359"/>
      <c r="B136" s="359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/>
      <c r="AM136" s="355"/>
      <c r="AN136" s="355"/>
      <c r="AO136" s="356"/>
      <c r="AP136" s="356"/>
      <c r="AQ136" s="356"/>
      <c r="AR136" s="356"/>
      <c r="AS136" s="357"/>
    </row>
    <row r="137" spans="1:45" s="358" customFormat="1" ht="12.75" x14ac:dyDescent="0.25">
      <c r="A137" s="359"/>
      <c r="B137" s="359"/>
      <c r="C137" s="359"/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55"/>
      <c r="AE137" s="355"/>
      <c r="AF137" s="355"/>
      <c r="AG137" s="355"/>
      <c r="AH137" s="355"/>
      <c r="AI137" s="355"/>
      <c r="AJ137" s="355"/>
      <c r="AK137" s="355"/>
      <c r="AL137" s="355"/>
      <c r="AM137" s="355"/>
      <c r="AN137" s="355"/>
      <c r="AO137" s="356"/>
      <c r="AP137" s="356"/>
      <c r="AQ137" s="356"/>
      <c r="AR137" s="356"/>
      <c r="AS137" s="357"/>
    </row>
    <row r="138" spans="1:45" s="358" customFormat="1" ht="12.75" x14ac:dyDescent="0.25">
      <c r="A138" s="359"/>
      <c r="B138" s="359"/>
      <c r="C138" s="359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55"/>
      <c r="AE138" s="355"/>
      <c r="AF138" s="355"/>
      <c r="AG138" s="355"/>
      <c r="AH138" s="355"/>
      <c r="AI138" s="355"/>
      <c r="AJ138" s="355"/>
      <c r="AK138" s="355"/>
      <c r="AL138" s="355"/>
      <c r="AM138" s="355"/>
      <c r="AN138" s="355"/>
      <c r="AO138" s="356"/>
      <c r="AP138" s="356"/>
      <c r="AQ138" s="356"/>
      <c r="AR138" s="356"/>
      <c r="AS138" s="357"/>
    </row>
    <row r="139" spans="1:45" s="358" customFormat="1" ht="12.75" x14ac:dyDescent="0.25">
      <c r="A139" s="359"/>
      <c r="B139" s="359"/>
      <c r="C139" s="359"/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5"/>
      <c r="V139" s="355"/>
      <c r="W139" s="355"/>
      <c r="X139" s="355"/>
      <c r="Y139" s="355"/>
      <c r="Z139" s="355"/>
      <c r="AA139" s="355"/>
      <c r="AB139" s="355"/>
      <c r="AC139" s="355"/>
      <c r="AD139" s="355"/>
      <c r="AE139" s="355"/>
      <c r="AF139" s="355"/>
      <c r="AG139" s="355"/>
      <c r="AH139" s="355"/>
      <c r="AI139" s="355"/>
      <c r="AJ139" s="355"/>
      <c r="AK139" s="355"/>
      <c r="AL139" s="355"/>
      <c r="AM139" s="355"/>
      <c r="AN139" s="355"/>
      <c r="AO139" s="356"/>
      <c r="AP139" s="356"/>
      <c r="AQ139" s="356"/>
      <c r="AR139" s="356"/>
      <c r="AS139" s="357"/>
    </row>
    <row r="140" spans="1:45" s="358" customFormat="1" ht="12.75" x14ac:dyDescent="0.25">
      <c r="A140" s="359"/>
      <c r="B140" s="359"/>
      <c r="C140" s="359"/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5"/>
      <c r="V140" s="355"/>
      <c r="W140" s="355"/>
      <c r="X140" s="355"/>
      <c r="Y140" s="355"/>
      <c r="Z140" s="355"/>
      <c r="AA140" s="355"/>
      <c r="AB140" s="355"/>
      <c r="AC140" s="355"/>
      <c r="AD140" s="355"/>
      <c r="AE140" s="355"/>
      <c r="AF140" s="355"/>
      <c r="AG140" s="355"/>
      <c r="AH140" s="355"/>
      <c r="AI140" s="355"/>
      <c r="AJ140" s="355"/>
      <c r="AK140" s="355"/>
      <c r="AL140" s="355"/>
      <c r="AM140" s="355"/>
      <c r="AN140" s="355"/>
      <c r="AO140" s="356"/>
      <c r="AP140" s="356"/>
      <c r="AQ140" s="356"/>
      <c r="AR140" s="356"/>
      <c r="AS140" s="357"/>
    </row>
    <row r="141" spans="1:45" s="358" customFormat="1" ht="12.75" x14ac:dyDescent="0.25">
      <c r="A141" s="359"/>
      <c r="B141" s="359"/>
      <c r="C141" s="359"/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5"/>
      <c r="V141" s="355"/>
      <c r="W141" s="355"/>
      <c r="X141" s="355"/>
      <c r="Y141" s="355"/>
      <c r="Z141" s="355"/>
      <c r="AA141" s="355"/>
      <c r="AB141" s="355"/>
      <c r="AC141" s="355"/>
      <c r="AD141" s="355"/>
      <c r="AE141" s="355"/>
      <c r="AF141" s="355"/>
      <c r="AG141" s="355"/>
      <c r="AH141" s="355"/>
      <c r="AI141" s="355"/>
      <c r="AJ141" s="355"/>
      <c r="AK141" s="355"/>
      <c r="AL141" s="355"/>
      <c r="AM141" s="355"/>
      <c r="AN141" s="355"/>
      <c r="AO141" s="356"/>
      <c r="AP141" s="356"/>
      <c r="AQ141" s="356"/>
      <c r="AR141" s="356"/>
      <c r="AS141" s="357"/>
    </row>
    <row r="142" spans="1:45" s="358" customFormat="1" ht="12.75" x14ac:dyDescent="0.25">
      <c r="A142" s="359"/>
      <c r="B142" s="359"/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5"/>
      <c r="V142" s="355"/>
      <c r="W142" s="355"/>
      <c r="X142" s="355"/>
      <c r="Y142" s="355"/>
      <c r="Z142" s="355"/>
      <c r="AA142" s="355"/>
      <c r="AB142" s="355"/>
      <c r="AC142" s="355"/>
      <c r="AD142" s="355"/>
      <c r="AE142" s="355"/>
      <c r="AF142" s="355"/>
      <c r="AG142" s="355"/>
      <c r="AH142" s="355"/>
      <c r="AI142" s="355"/>
      <c r="AJ142" s="355"/>
      <c r="AK142" s="355"/>
      <c r="AL142" s="355"/>
      <c r="AM142" s="355"/>
      <c r="AN142" s="355"/>
      <c r="AO142" s="356"/>
      <c r="AP142" s="356"/>
      <c r="AQ142" s="356"/>
      <c r="AR142" s="356"/>
      <c r="AS142" s="357"/>
    </row>
    <row r="143" spans="1:45" s="358" customFormat="1" ht="12.75" x14ac:dyDescent="0.25">
      <c r="A143" s="359"/>
      <c r="B143" s="359"/>
      <c r="C143" s="359"/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5"/>
      <c r="V143" s="355"/>
      <c r="W143" s="355"/>
      <c r="X143" s="355"/>
      <c r="Y143" s="355"/>
      <c r="Z143" s="355"/>
      <c r="AA143" s="355"/>
      <c r="AB143" s="355"/>
      <c r="AC143" s="355"/>
      <c r="AD143" s="355"/>
      <c r="AE143" s="355"/>
      <c r="AF143" s="355"/>
      <c r="AG143" s="355"/>
      <c r="AH143" s="355"/>
      <c r="AI143" s="355"/>
      <c r="AJ143" s="355"/>
      <c r="AK143" s="355"/>
      <c r="AL143" s="355"/>
      <c r="AM143" s="355"/>
      <c r="AN143" s="355"/>
      <c r="AO143" s="356"/>
      <c r="AP143" s="356"/>
      <c r="AQ143" s="356"/>
      <c r="AR143" s="356"/>
      <c r="AS143" s="357"/>
    </row>
    <row r="144" spans="1:45" s="358" customFormat="1" ht="12.75" x14ac:dyDescent="0.25">
      <c r="A144" s="359"/>
      <c r="B144" s="359"/>
      <c r="C144" s="359"/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5"/>
      <c r="V144" s="355"/>
      <c r="W144" s="355"/>
      <c r="X144" s="355"/>
      <c r="Y144" s="355"/>
      <c r="Z144" s="355"/>
      <c r="AA144" s="355"/>
      <c r="AB144" s="355"/>
      <c r="AC144" s="355"/>
      <c r="AD144" s="355"/>
      <c r="AE144" s="355"/>
      <c r="AF144" s="355"/>
      <c r="AG144" s="355"/>
      <c r="AH144" s="355"/>
      <c r="AI144" s="355"/>
      <c r="AJ144" s="355"/>
      <c r="AK144" s="355"/>
      <c r="AL144" s="355"/>
      <c r="AM144" s="355"/>
      <c r="AN144" s="355"/>
      <c r="AO144" s="356"/>
      <c r="AP144" s="356"/>
      <c r="AQ144" s="356"/>
      <c r="AR144" s="356"/>
      <c r="AS144" s="357"/>
    </row>
    <row r="145" spans="1:45" s="358" customFormat="1" ht="12.75" x14ac:dyDescent="0.25">
      <c r="A145" s="359"/>
      <c r="B145" s="359"/>
      <c r="C145" s="359"/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5"/>
      <c r="V145" s="355"/>
      <c r="W145" s="355"/>
      <c r="X145" s="355"/>
      <c r="Y145" s="355"/>
      <c r="Z145" s="355"/>
      <c r="AA145" s="355"/>
      <c r="AB145" s="355"/>
      <c r="AC145" s="355"/>
      <c r="AD145" s="355"/>
      <c r="AE145" s="355"/>
      <c r="AF145" s="355"/>
      <c r="AG145" s="355"/>
      <c r="AH145" s="355"/>
      <c r="AI145" s="355"/>
      <c r="AJ145" s="355"/>
      <c r="AK145" s="355"/>
      <c r="AL145" s="355"/>
      <c r="AM145" s="355"/>
      <c r="AN145" s="355"/>
      <c r="AO145" s="356"/>
      <c r="AP145" s="356"/>
      <c r="AQ145" s="356"/>
      <c r="AR145" s="356"/>
      <c r="AS145" s="357"/>
    </row>
    <row r="146" spans="1:45" s="358" customFormat="1" ht="12.75" x14ac:dyDescent="0.25">
      <c r="A146" s="359"/>
      <c r="B146" s="359"/>
      <c r="C146" s="359"/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5"/>
      <c r="V146" s="355"/>
      <c r="W146" s="355"/>
      <c r="X146" s="355"/>
      <c r="Y146" s="355"/>
      <c r="Z146" s="355"/>
      <c r="AA146" s="355"/>
      <c r="AB146" s="355"/>
      <c r="AC146" s="355"/>
      <c r="AD146" s="355"/>
      <c r="AE146" s="355"/>
      <c r="AF146" s="355"/>
      <c r="AG146" s="355"/>
      <c r="AH146" s="355"/>
      <c r="AI146" s="355"/>
      <c r="AJ146" s="355"/>
      <c r="AK146" s="355"/>
      <c r="AL146" s="355"/>
      <c r="AM146" s="355"/>
      <c r="AN146" s="355"/>
      <c r="AO146" s="356"/>
      <c r="AP146" s="356"/>
      <c r="AQ146" s="356"/>
      <c r="AR146" s="356"/>
      <c r="AS146" s="357"/>
    </row>
    <row r="147" spans="1:45" s="358" customFormat="1" ht="12.75" x14ac:dyDescent="0.25">
      <c r="A147" s="359"/>
      <c r="B147" s="359"/>
      <c r="C147" s="359"/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5"/>
      <c r="V147" s="355"/>
      <c r="W147" s="355"/>
      <c r="X147" s="355"/>
      <c r="Y147" s="355"/>
      <c r="Z147" s="355"/>
      <c r="AA147" s="355"/>
      <c r="AB147" s="355"/>
      <c r="AC147" s="355"/>
      <c r="AD147" s="355"/>
      <c r="AE147" s="355"/>
      <c r="AF147" s="355"/>
      <c r="AG147" s="355"/>
      <c r="AH147" s="355"/>
      <c r="AI147" s="355"/>
      <c r="AJ147" s="355"/>
      <c r="AK147" s="355"/>
      <c r="AL147" s="355"/>
      <c r="AM147" s="355"/>
      <c r="AN147" s="355"/>
      <c r="AO147" s="356"/>
      <c r="AP147" s="356"/>
      <c r="AQ147" s="356"/>
      <c r="AR147" s="356"/>
      <c r="AS147" s="357"/>
    </row>
    <row r="148" spans="1:45" s="358" customFormat="1" ht="12.75" x14ac:dyDescent="0.25">
      <c r="A148" s="359"/>
      <c r="B148" s="359"/>
      <c r="C148" s="359"/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5"/>
      <c r="V148" s="355"/>
      <c r="W148" s="355"/>
      <c r="X148" s="355"/>
      <c r="Y148" s="355"/>
      <c r="Z148" s="355"/>
      <c r="AA148" s="355"/>
      <c r="AB148" s="355"/>
      <c r="AC148" s="355"/>
      <c r="AD148" s="355"/>
      <c r="AE148" s="355"/>
      <c r="AF148" s="355"/>
      <c r="AG148" s="355"/>
      <c r="AH148" s="355"/>
      <c r="AI148" s="355"/>
      <c r="AJ148" s="355"/>
      <c r="AK148" s="355"/>
      <c r="AL148" s="355"/>
      <c r="AM148" s="355"/>
      <c r="AN148" s="355"/>
      <c r="AO148" s="356"/>
      <c r="AP148" s="356"/>
      <c r="AQ148" s="356"/>
      <c r="AR148" s="356"/>
      <c r="AS148" s="357"/>
    </row>
    <row r="149" spans="1:45" s="358" customFormat="1" ht="12.75" x14ac:dyDescent="0.25">
      <c r="A149" s="359"/>
      <c r="B149" s="359"/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5"/>
      <c r="V149" s="355"/>
      <c r="W149" s="355"/>
      <c r="X149" s="355"/>
      <c r="Y149" s="355"/>
      <c r="Z149" s="355"/>
      <c r="AA149" s="355"/>
      <c r="AB149" s="355"/>
      <c r="AC149" s="355"/>
      <c r="AD149" s="355"/>
      <c r="AE149" s="355"/>
      <c r="AF149" s="355"/>
      <c r="AG149" s="355"/>
      <c r="AH149" s="355"/>
      <c r="AI149" s="355"/>
      <c r="AJ149" s="355"/>
      <c r="AK149" s="355"/>
      <c r="AL149" s="355"/>
      <c r="AM149" s="355"/>
      <c r="AN149" s="355"/>
      <c r="AO149" s="356"/>
      <c r="AP149" s="356"/>
      <c r="AQ149" s="356"/>
      <c r="AR149" s="356"/>
      <c r="AS149" s="357"/>
    </row>
    <row r="150" spans="1:45" s="358" customFormat="1" ht="12.75" x14ac:dyDescent="0.25">
      <c r="A150" s="359"/>
      <c r="B150" s="359"/>
      <c r="C150" s="359"/>
      <c r="D150" s="359"/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5"/>
      <c r="V150" s="355"/>
      <c r="W150" s="355"/>
      <c r="X150" s="355"/>
      <c r="Y150" s="355"/>
      <c r="Z150" s="355"/>
      <c r="AA150" s="355"/>
      <c r="AB150" s="355"/>
      <c r="AC150" s="355"/>
      <c r="AD150" s="355"/>
      <c r="AE150" s="355"/>
      <c r="AF150" s="355"/>
      <c r="AG150" s="355"/>
      <c r="AH150" s="355"/>
      <c r="AI150" s="355"/>
      <c r="AJ150" s="355"/>
      <c r="AK150" s="355"/>
      <c r="AL150" s="355"/>
      <c r="AM150" s="355"/>
      <c r="AN150" s="355"/>
      <c r="AO150" s="356"/>
      <c r="AP150" s="356"/>
      <c r="AQ150" s="356"/>
      <c r="AR150" s="356"/>
      <c r="AS150" s="357"/>
    </row>
    <row r="151" spans="1:45" s="358" customFormat="1" ht="12.75" x14ac:dyDescent="0.25">
      <c r="A151" s="359"/>
      <c r="B151" s="359"/>
      <c r="C151" s="359"/>
      <c r="D151" s="359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355"/>
      <c r="V151" s="355"/>
      <c r="W151" s="355"/>
      <c r="X151" s="355"/>
      <c r="Y151" s="355"/>
      <c r="Z151" s="355"/>
      <c r="AA151" s="355"/>
      <c r="AB151" s="355"/>
      <c r="AC151" s="355"/>
      <c r="AD151" s="355"/>
      <c r="AE151" s="355"/>
      <c r="AF151" s="355"/>
      <c r="AG151" s="355"/>
      <c r="AH151" s="355"/>
      <c r="AI151" s="355"/>
      <c r="AJ151" s="355"/>
      <c r="AK151" s="355"/>
      <c r="AL151" s="355"/>
      <c r="AM151" s="355"/>
      <c r="AN151" s="355"/>
      <c r="AO151" s="356"/>
      <c r="AP151" s="356"/>
      <c r="AQ151" s="356"/>
      <c r="AR151" s="356"/>
      <c r="AS151" s="357"/>
    </row>
    <row r="152" spans="1:45" s="358" customFormat="1" ht="12.75" x14ac:dyDescent="0.25">
      <c r="A152" s="359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5"/>
      <c r="V152" s="355"/>
      <c r="W152" s="355"/>
      <c r="X152" s="355"/>
      <c r="Y152" s="355"/>
      <c r="Z152" s="355"/>
      <c r="AA152" s="355"/>
      <c r="AB152" s="355"/>
      <c r="AC152" s="355"/>
      <c r="AD152" s="355"/>
      <c r="AE152" s="355"/>
      <c r="AF152" s="355"/>
      <c r="AG152" s="355"/>
      <c r="AH152" s="355"/>
      <c r="AI152" s="355"/>
      <c r="AJ152" s="355"/>
      <c r="AK152" s="355"/>
      <c r="AL152" s="355"/>
      <c r="AM152" s="355"/>
      <c r="AN152" s="355"/>
      <c r="AO152" s="356"/>
      <c r="AP152" s="356"/>
      <c r="AQ152" s="356"/>
      <c r="AR152" s="356"/>
      <c r="AS152" s="357"/>
    </row>
    <row r="153" spans="1:45" s="358" customFormat="1" ht="12.75" x14ac:dyDescent="0.25">
      <c r="A153" s="359"/>
      <c r="B153" s="359"/>
      <c r="C153" s="359"/>
      <c r="D153" s="359"/>
      <c r="E153" s="359"/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5"/>
      <c r="V153" s="355"/>
      <c r="W153" s="355"/>
      <c r="X153" s="355"/>
      <c r="Y153" s="355"/>
      <c r="Z153" s="355"/>
      <c r="AA153" s="355"/>
      <c r="AB153" s="355"/>
      <c r="AC153" s="355"/>
      <c r="AD153" s="355"/>
      <c r="AE153" s="355"/>
      <c r="AF153" s="355"/>
      <c r="AG153" s="355"/>
      <c r="AH153" s="355"/>
      <c r="AI153" s="355"/>
      <c r="AJ153" s="355"/>
      <c r="AK153" s="355"/>
      <c r="AL153" s="355"/>
      <c r="AM153" s="355"/>
      <c r="AN153" s="355"/>
      <c r="AO153" s="356"/>
      <c r="AP153" s="356"/>
      <c r="AQ153" s="356"/>
      <c r="AR153" s="356"/>
      <c r="AS153" s="357"/>
    </row>
    <row r="154" spans="1:45" x14ac:dyDescent="0.25">
      <c r="A154" s="359"/>
      <c r="B154" s="359"/>
      <c r="C154" s="359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AO154" t="s">
        <v>331</v>
      </c>
    </row>
    <row r="155" spans="1:45" x14ac:dyDescent="0.25">
      <c r="A155" s="359"/>
      <c r="B155" s="359"/>
      <c r="C155" s="359"/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</row>
    <row r="156" spans="1:45" x14ac:dyDescent="0.25">
      <c r="A156" s="359"/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</row>
    <row r="158" spans="1:45" x14ac:dyDescent="0.25">
      <c r="AO158" t="s">
        <v>332</v>
      </c>
    </row>
    <row r="159" spans="1:45" x14ac:dyDescent="0.25">
      <c r="AO159" t="s">
        <v>333</v>
      </c>
    </row>
    <row r="160" spans="1:45" x14ac:dyDescent="0.25">
      <c r="AO160" t="s">
        <v>334</v>
      </c>
    </row>
  </sheetData>
  <mergeCells count="97">
    <mergeCell ref="AH112:AM112"/>
    <mergeCell ref="AH113:AM113"/>
    <mergeCell ref="I8:J8"/>
    <mergeCell ref="AM8:AN8"/>
    <mergeCell ref="I81:I82"/>
    <mergeCell ref="J81:J82"/>
    <mergeCell ref="J67:J68"/>
    <mergeCell ref="L67:L68"/>
    <mergeCell ref="N67:N68"/>
    <mergeCell ref="O67:O68"/>
    <mergeCell ref="M67:M68"/>
    <mergeCell ref="K67:K68"/>
    <mergeCell ref="AI8:AJ8"/>
    <mergeCell ref="Y8:Z8"/>
    <mergeCell ref="C42:T42"/>
    <mergeCell ref="C48:T48"/>
    <mergeCell ref="G81:G82"/>
    <mergeCell ref="H81:H82"/>
    <mergeCell ref="H67:H68"/>
    <mergeCell ref="AH107:AM107"/>
    <mergeCell ref="AH108:AM108"/>
    <mergeCell ref="A101:S101"/>
    <mergeCell ref="A102:T102"/>
    <mergeCell ref="A103:T103"/>
    <mergeCell ref="B67:B68"/>
    <mergeCell ref="C79:T79"/>
    <mergeCell ref="C80:T80"/>
    <mergeCell ref="E81:E82"/>
    <mergeCell ref="F81:F82"/>
    <mergeCell ref="A1:AS1"/>
    <mergeCell ref="A2:AS2"/>
    <mergeCell ref="A3:AS3"/>
    <mergeCell ref="A4:AS4"/>
    <mergeCell ref="A7:A9"/>
    <mergeCell ref="B7:B9"/>
    <mergeCell ref="C7:C9"/>
    <mergeCell ref="D7:D9"/>
    <mergeCell ref="E7:E9"/>
    <mergeCell ref="F7:H8"/>
    <mergeCell ref="I7:T7"/>
    <mergeCell ref="U7:AF7"/>
    <mergeCell ref="AG7:AR7"/>
    <mergeCell ref="AS7:AS9"/>
    <mergeCell ref="AK8:AL8"/>
    <mergeCell ref="AA8:AB8"/>
    <mergeCell ref="F10:H10"/>
    <mergeCell ref="A11:AS11"/>
    <mergeCell ref="AQ8:AR8"/>
    <mergeCell ref="U8:V8"/>
    <mergeCell ref="AC8:AD8"/>
    <mergeCell ref="K8:L8"/>
    <mergeCell ref="W8:X8"/>
    <mergeCell ref="AE8:AF8"/>
    <mergeCell ref="M8:N8"/>
    <mergeCell ref="O8:P8"/>
    <mergeCell ref="Q8:R8"/>
    <mergeCell ref="S8:T8"/>
    <mergeCell ref="AG8:AH8"/>
    <mergeCell ref="F9:G9"/>
    <mergeCell ref="AO8:AP8"/>
    <mergeCell ref="AS44:AS47"/>
    <mergeCell ref="AS56:AS57"/>
    <mergeCell ref="AS13:AS40"/>
    <mergeCell ref="I67:I68"/>
    <mergeCell ref="F67:F68"/>
    <mergeCell ref="P67:P68"/>
    <mergeCell ref="Q67:Q68"/>
    <mergeCell ref="R67:R68"/>
    <mergeCell ref="S67:S68"/>
    <mergeCell ref="T67:T68"/>
    <mergeCell ref="C59:T59"/>
    <mergeCell ref="C65:T65"/>
    <mergeCell ref="C66:T66"/>
    <mergeCell ref="AS61:AS64"/>
    <mergeCell ref="E67:E68"/>
    <mergeCell ref="C41:T41"/>
    <mergeCell ref="AS84:AS94"/>
    <mergeCell ref="C81:C82"/>
    <mergeCell ref="A95:T95"/>
    <mergeCell ref="A96:T96"/>
    <mergeCell ref="B69:B94"/>
    <mergeCell ref="C75:T75"/>
    <mergeCell ref="C76:T76"/>
    <mergeCell ref="K81:K82"/>
    <mergeCell ref="L81:L82"/>
    <mergeCell ref="M81:M82"/>
    <mergeCell ref="N81:N82"/>
    <mergeCell ref="O81:O82"/>
    <mergeCell ref="P81:P82"/>
    <mergeCell ref="Q81:Q82"/>
    <mergeCell ref="R81:R82"/>
    <mergeCell ref="AS71:AS74"/>
    <mergeCell ref="C49:T49"/>
    <mergeCell ref="C53:T53"/>
    <mergeCell ref="C54:T54"/>
    <mergeCell ref="C58:T58"/>
    <mergeCell ref="B51:B66"/>
  </mergeCells>
  <pageMargins left="0.51181102362204722" right="0.51181102362204722" top="0.59055118110236227" bottom="0.55118110236220474" header="0.31496062992125984" footer="0.11811023622047245"/>
  <pageSetup paperSize="10000" scale="37" orientation="landscape" horizontalDpi="360" verticalDpi="360" r:id="rId1"/>
  <colBreaks count="1" manualBreakCount="1">
    <brk id="4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77"/>
  <sheetViews>
    <sheetView topLeftCell="F4" zoomScale="118" zoomScaleNormal="118" workbookViewId="0">
      <selection activeCell="N12" sqref="N12"/>
    </sheetView>
  </sheetViews>
  <sheetFormatPr defaultRowHeight="15" x14ac:dyDescent="0.25"/>
  <cols>
    <col min="1" max="1" width="4" customWidth="1"/>
    <col min="2" max="2" width="13.5703125" customWidth="1"/>
    <col min="3" max="3" width="25.42578125" customWidth="1"/>
    <col min="4" max="4" width="23.28515625" customWidth="1"/>
    <col min="5" max="5" width="6.42578125" customWidth="1"/>
    <col min="6" max="6" width="7.140625" customWidth="1"/>
    <col min="7" max="7" width="8.28515625" customWidth="1"/>
    <col min="8" max="8" width="6" customWidth="1"/>
    <col min="9" max="9" width="8" customWidth="1"/>
    <col min="10" max="11" width="6" customWidth="1"/>
    <col min="12" max="12" width="8.5703125" customWidth="1"/>
    <col min="13" max="13" width="7.140625" customWidth="1"/>
    <col min="14" max="14" width="9" customWidth="1"/>
    <col min="15" max="18" width="10.140625" customWidth="1"/>
    <col min="19" max="20" width="7.140625" customWidth="1"/>
    <col min="21" max="21" width="7.7109375" customWidth="1"/>
    <col min="22" max="23" width="7.140625" customWidth="1"/>
    <col min="24" max="24" width="7.5703125" customWidth="1"/>
    <col min="25" max="27" width="7.140625" customWidth="1"/>
    <col min="28" max="28" width="11.28515625" customWidth="1"/>
  </cols>
  <sheetData>
    <row r="2" spans="1:31" s="622" customFormat="1" x14ac:dyDescent="0.25">
      <c r="A2" s="830" t="s">
        <v>543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</row>
    <row r="3" spans="1:31" s="622" customFormat="1" x14ac:dyDescent="0.25">
      <c r="A3" s="830" t="s">
        <v>544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</row>
    <row r="4" spans="1:31" s="622" customFormat="1" x14ac:dyDescent="0.25">
      <c r="A4" s="830" t="s">
        <v>551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</row>
    <row r="5" spans="1:31" ht="15.75" thickBot="1" x14ac:dyDescent="0.3"/>
    <row r="6" spans="1:31" s="1" customFormat="1" ht="29.25" customHeight="1" x14ac:dyDescent="0.25">
      <c r="A6" s="740" t="s">
        <v>0</v>
      </c>
      <c r="B6" s="743" t="s">
        <v>27</v>
      </c>
      <c r="C6" s="743" t="s">
        <v>28</v>
      </c>
      <c r="D6" s="743" t="s">
        <v>29</v>
      </c>
      <c r="E6" s="711" t="s">
        <v>549</v>
      </c>
      <c r="F6" s="712"/>
      <c r="G6" s="713"/>
      <c r="H6" s="711" t="s">
        <v>550</v>
      </c>
      <c r="I6" s="713"/>
      <c r="J6" s="711" t="s">
        <v>545</v>
      </c>
      <c r="K6" s="712"/>
      <c r="L6" s="713"/>
      <c r="M6" s="737" t="s">
        <v>552</v>
      </c>
      <c r="N6" s="738"/>
      <c r="O6" s="739"/>
      <c r="P6" s="737" t="s">
        <v>552</v>
      </c>
      <c r="Q6" s="738"/>
      <c r="R6" s="739"/>
      <c r="S6" s="711" t="s">
        <v>553</v>
      </c>
      <c r="T6" s="712"/>
      <c r="U6" s="713"/>
      <c r="V6" s="711" t="s">
        <v>555</v>
      </c>
      <c r="W6" s="712"/>
      <c r="X6" s="713"/>
      <c r="Y6" s="697" t="s">
        <v>554</v>
      </c>
      <c r="Z6" s="827"/>
      <c r="AA6" s="698"/>
      <c r="AB6" s="701" t="s">
        <v>34</v>
      </c>
    </row>
    <row r="7" spans="1:31" s="1" customFormat="1" ht="32.450000000000003" customHeight="1" x14ac:dyDescent="0.25">
      <c r="A7" s="741"/>
      <c r="B7" s="744"/>
      <c r="C7" s="744"/>
      <c r="D7" s="744"/>
      <c r="E7" s="714"/>
      <c r="F7" s="715"/>
      <c r="G7" s="716"/>
      <c r="H7" s="714"/>
      <c r="I7" s="716"/>
      <c r="J7" s="714"/>
      <c r="K7" s="715"/>
      <c r="L7" s="716"/>
      <c r="M7" s="704" t="s">
        <v>35</v>
      </c>
      <c r="N7" s="829"/>
      <c r="O7" s="705"/>
      <c r="P7" s="704" t="s">
        <v>36</v>
      </c>
      <c r="Q7" s="829"/>
      <c r="R7" s="705"/>
      <c r="S7" s="714"/>
      <c r="T7" s="715"/>
      <c r="U7" s="716"/>
      <c r="V7" s="714"/>
      <c r="W7" s="715"/>
      <c r="X7" s="716"/>
      <c r="Y7" s="699"/>
      <c r="Z7" s="828"/>
      <c r="AA7" s="700"/>
      <c r="AB7" s="702"/>
    </row>
    <row r="8" spans="1:31" s="1" customFormat="1" ht="18.600000000000001" customHeight="1" thickBot="1" x14ac:dyDescent="0.3">
      <c r="A8" s="742"/>
      <c r="B8" s="745"/>
      <c r="C8" s="745"/>
      <c r="D8" s="745"/>
      <c r="E8" s="729" t="s">
        <v>39</v>
      </c>
      <c r="F8" s="730"/>
      <c r="G8" s="2" t="s">
        <v>40</v>
      </c>
      <c r="H8" s="2" t="s">
        <v>39</v>
      </c>
      <c r="I8" s="2" t="s">
        <v>40</v>
      </c>
      <c r="J8" s="2" t="s">
        <v>39</v>
      </c>
      <c r="K8" s="2"/>
      <c r="L8" s="3" t="s">
        <v>40</v>
      </c>
      <c r="M8" s="2" t="s">
        <v>39</v>
      </c>
      <c r="N8" s="2"/>
      <c r="O8" s="2" t="s">
        <v>40</v>
      </c>
      <c r="P8" s="2" t="s">
        <v>39</v>
      </c>
      <c r="Q8" s="2"/>
      <c r="R8" s="2" t="s">
        <v>40</v>
      </c>
      <c r="S8" s="2" t="s">
        <v>39</v>
      </c>
      <c r="T8" s="2"/>
      <c r="U8" s="2" t="s">
        <v>40</v>
      </c>
      <c r="V8" s="4" t="s">
        <v>39</v>
      </c>
      <c r="W8" s="4"/>
      <c r="X8" s="4" t="s">
        <v>40</v>
      </c>
      <c r="Y8" s="4" t="s">
        <v>39</v>
      </c>
      <c r="Z8" s="4"/>
      <c r="AA8" s="4" t="s">
        <v>41</v>
      </c>
      <c r="AB8" s="703"/>
    </row>
    <row r="9" spans="1:31" ht="20.25" x14ac:dyDescent="0.25">
      <c r="A9" s="731" t="s">
        <v>346</v>
      </c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2"/>
      <c r="AA9" s="732"/>
      <c r="AB9" s="733"/>
    </row>
    <row r="10" spans="1:31" ht="15.75" x14ac:dyDescent="0.25">
      <c r="A10" s="734" t="s">
        <v>347</v>
      </c>
      <c r="B10" s="735"/>
      <c r="C10" s="735"/>
      <c r="D10" s="735"/>
      <c r="E10" s="735"/>
      <c r="F10" s="735"/>
      <c r="G10" s="735"/>
      <c r="H10" s="735"/>
      <c r="I10" s="735"/>
      <c r="J10" s="735"/>
      <c r="K10" s="735"/>
      <c r="L10" s="735"/>
      <c r="M10" s="735"/>
      <c r="N10" s="735"/>
      <c r="O10" s="735"/>
      <c r="P10" s="735"/>
      <c r="Q10" s="735"/>
      <c r="R10" s="735"/>
      <c r="S10" s="735"/>
      <c r="T10" s="735"/>
      <c r="U10" s="735"/>
      <c r="V10" s="735"/>
      <c r="W10" s="735"/>
      <c r="X10" s="735"/>
      <c r="Y10" s="735"/>
      <c r="Z10" s="735"/>
      <c r="AA10" s="735"/>
      <c r="AB10" s="736"/>
    </row>
    <row r="11" spans="1:31" ht="63.75" x14ac:dyDescent="0.25">
      <c r="A11" s="408"/>
      <c r="B11" s="383" t="s">
        <v>382</v>
      </c>
      <c r="C11" s="409" t="s">
        <v>24</v>
      </c>
      <c r="D11" s="409" t="s">
        <v>5</v>
      </c>
      <c r="E11" s="410">
        <f>SUM(E12:E25)/SUM(E12:E25)*100</f>
        <v>100</v>
      </c>
      <c r="F11" s="401" t="s">
        <v>50</v>
      </c>
      <c r="G11" s="411">
        <f>SUM(G12:G25)</f>
        <v>5403272.9840000002</v>
      </c>
      <c r="H11" s="410">
        <f>SUM(H12:H25)/SUM(H12:H25)*100</f>
        <v>100</v>
      </c>
      <c r="I11" s="411">
        <f>SUM(I12:I25)</f>
        <v>2577823.6320000002</v>
      </c>
      <c r="J11" s="410">
        <f>SUM(J12:J25)/SUM(J12:J25)*100</f>
        <v>100</v>
      </c>
      <c r="K11" s="628" t="s">
        <v>50</v>
      </c>
      <c r="L11" s="460">
        <f>SUM(L12:L25)</f>
        <v>580508.40000000014</v>
      </c>
      <c r="M11" s="410">
        <f>SUM(M12:M25)/SUM(M12:M25)*100</f>
        <v>100</v>
      </c>
      <c r="N11" s="628" t="s">
        <v>50</v>
      </c>
      <c r="O11" s="411">
        <f>SUM(O12:O25)</f>
        <v>570278.5</v>
      </c>
      <c r="P11" s="410">
        <f>SUM(P12:P25)/SUM(P12:P25)*100</f>
        <v>100</v>
      </c>
      <c r="Q11" s="628" t="s">
        <v>50</v>
      </c>
      <c r="R11" s="411"/>
      <c r="S11" s="411">
        <f>SUM(S12:S25)/SUM(S12:S25)*100</f>
        <v>100</v>
      </c>
      <c r="T11" s="411" t="s">
        <v>50</v>
      </c>
      <c r="U11" s="460">
        <f t="shared" ref="U11:U26" si="0">O11</f>
        <v>570278.5</v>
      </c>
      <c r="V11" s="412">
        <f>SUM(V12:V25)/SUM(V12:V25)*100</f>
        <v>100</v>
      </c>
      <c r="W11" s="412" t="s">
        <v>50</v>
      </c>
      <c r="X11" s="412">
        <f>SUM(X12:X25)</f>
        <v>3148102.1320000002</v>
      </c>
      <c r="Y11" s="401">
        <f>SUM(Y12:Y25)/SUM(Y12:Y25)*100</f>
        <v>100</v>
      </c>
      <c r="Z11" s="401" t="s">
        <v>50</v>
      </c>
      <c r="AA11" s="401">
        <f>SUM(AA12:AA25)</f>
        <v>682.76904634118534</v>
      </c>
      <c r="AB11" s="413"/>
    </row>
    <row r="12" spans="1:31" ht="38.25" customHeight="1" x14ac:dyDescent="0.25">
      <c r="A12" s="414"/>
      <c r="B12" s="710"/>
      <c r="C12" s="400" t="s">
        <v>42</v>
      </c>
      <c r="D12" s="394" t="s">
        <v>398</v>
      </c>
      <c r="E12" s="365">
        <f>12*3</f>
        <v>36</v>
      </c>
      <c r="F12" s="369" t="s">
        <v>337</v>
      </c>
      <c r="G12" s="365">
        <v>235700</v>
      </c>
      <c r="H12" s="370">
        <v>39</v>
      </c>
      <c r="I12" s="370">
        <v>51173.463000000003</v>
      </c>
      <c r="J12" s="370">
        <v>12</v>
      </c>
      <c r="K12" s="370" t="s">
        <v>422</v>
      </c>
      <c r="L12" s="365">
        <v>33600</v>
      </c>
      <c r="M12" s="365">
        <v>5</v>
      </c>
      <c r="N12" s="365" t="s">
        <v>422</v>
      </c>
      <c r="O12" s="365">
        <v>27485.3</v>
      </c>
      <c r="P12" s="365">
        <v>5</v>
      </c>
      <c r="Q12" s="365" t="s">
        <v>422</v>
      </c>
      <c r="R12" s="365"/>
      <c r="S12" s="671">
        <f t="shared" ref="S12:S25" si="1">M12</f>
        <v>5</v>
      </c>
      <c r="T12" s="629" t="s">
        <v>422</v>
      </c>
      <c r="U12" s="459">
        <f t="shared" si="0"/>
        <v>27485.3</v>
      </c>
      <c r="V12" s="395">
        <f t="shared" ref="V12:V25" si="2">S12+H12</f>
        <v>44</v>
      </c>
      <c r="W12" s="629" t="s">
        <v>422</v>
      </c>
      <c r="X12" s="395">
        <f t="shared" ref="X12:X25" si="3">U12+I12</f>
        <v>78658.763000000006</v>
      </c>
      <c r="Y12" s="397">
        <f t="shared" ref="Y12:Y25" si="4">+V12/E12*100</f>
        <v>122.22222222222223</v>
      </c>
      <c r="Z12" s="629" t="s">
        <v>422</v>
      </c>
      <c r="AA12" s="397">
        <f t="shared" ref="AA12:AA25" si="5">+X12/G12*100</f>
        <v>33.372406873143831</v>
      </c>
      <c r="AB12" s="709" t="s">
        <v>348</v>
      </c>
      <c r="AC12" s="475"/>
    </row>
    <row r="13" spans="1:31" ht="25.5" x14ac:dyDescent="0.25">
      <c r="A13" s="414"/>
      <c r="B13" s="710"/>
      <c r="C13" s="400" t="s">
        <v>43</v>
      </c>
      <c r="D13" s="394" t="s">
        <v>399</v>
      </c>
      <c r="E13" s="365">
        <f>1*3</f>
        <v>3</v>
      </c>
      <c r="F13" s="369" t="s">
        <v>421</v>
      </c>
      <c r="G13" s="365">
        <v>1029050</v>
      </c>
      <c r="H13" s="370">
        <v>39</v>
      </c>
      <c r="I13" s="370">
        <v>573103</v>
      </c>
      <c r="J13" s="370">
        <v>1</v>
      </c>
      <c r="K13" s="370" t="s">
        <v>421</v>
      </c>
      <c r="L13" s="365">
        <v>169925</v>
      </c>
      <c r="M13" s="672">
        <v>0.5</v>
      </c>
      <c r="N13" s="365" t="s">
        <v>421</v>
      </c>
      <c r="O13" s="365">
        <v>169925</v>
      </c>
      <c r="P13" s="672">
        <v>0.5</v>
      </c>
      <c r="Q13" s="365" t="s">
        <v>421</v>
      </c>
      <c r="R13" s="365"/>
      <c r="S13" s="673">
        <f t="shared" si="1"/>
        <v>0.5</v>
      </c>
      <c r="T13" s="629" t="s">
        <v>421</v>
      </c>
      <c r="U13" s="370">
        <f t="shared" si="0"/>
        <v>169925</v>
      </c>
      <c r="V13" s="395">
        <f t="shared" si="2"/>
        <v>39.5</v>
      </c>
      <c r="W13" s="629" t="s">
        <v>421</v>
      </c>
      <c r="X13" s="395">
        <f t="shared" si="3"/>
        <v>743028</v>
      </c>
      <c r="Y13" s="397">
        <f t="shared" si="4"/>
        <v>1316.6666666666665</v>
      </c>
      <c r="Z13" s="629" t="s">
        <v>421</v>
      </c>
      <c r="AA13" s="397">
        <f t="shared" si="5"/>
        <v>72.205237840726895</v>
      </c>
      <c r="AB13" s="709"/>
      <c r="AE13">
        <f>4050000+2700000</f>
        <v>6750000</v>
      </c>
    </row>
    <row r="14" spans="1:31" x14ac:dyDescent="0.25">
      <c r="A14" s="414"/>
      <c r="B14" s="464"/>
      <c r="C14" s="399" t="s">
        <v>335</v>
      </c>
      <c r="D14" s="394" t="s">
        <v>393</v>
      </c>
      <c r="E14" s="365">
        <f>4*3</f>
        <v>12</v>
      </c>
      <c r="F14" s="369" t="s">
        <v>422</v>
      </c>
      <c r="G14" s="365">
        <v>150712</v>
      </c>
      <c r="H14" s="370">
        <v>39</v>
      </c>
      <c r="I14" s="370">
        <v>46313.8</v>
      </c>
      <c r="J14" s="370">
        <v>4</v>
      </c>
      <c r="K14" s="370" t="s">
        <v>422</v>
      </c>
      <c r="L14" s="365">
        <v>16085.2</v>
      </c>
      <c r="M14" s="365">
        <v>1</v>
      </c>
      <c r="N14" s="365" t="s">
        <v>337</v>
      </c>
      <c r="O14" s="365">
        <v>16052.5</v>
      </c>
      <c r="P14" s="365">
        <v>1</v>
      </c>
      <c r="Q14" s="365" t="s">
        <v>337</v>
      </c>
      <c r="R14" s="365"/>
      <c r="S14" s="671">
        <f t="shared" si="1"/>
        <v>1</v>
      </c>
      <c r="T14" s="629" t="s">
        <v>337</v>
      </c>
      <c r="U14" s="370">
        <f t="shared" si="0"/>
        <v>16052.5</v>
      </c>
      <c r="V14" s="395">
        <f t="shared" si="2"/>
        <v>40</v>
      </c>
      <c r="W14" s="629" t="s">
        <v>337</v>
      </c>
      <c r="X14" s="395">
        <f t="shared" si="3"/>
        <v>62366.3</v>
      </c>
      <c r="Y14" s="397">
        <f t="shared" si="4"/>
        <v>333.33333333333337</v>
      </c>
      <c r="Z14" s="629" t="s">
        <v>337</v>
      </c>
      <c r="AA14" s="397">
        <f t="shared" si="5"/>
        <v>41.381110993152504</v>
      </c>
      <c r="AB14" s="709"/>
    </row>
    <row r="15" spans="1:31" ht="25.5" x14ac:dyDescent="0.25">
      <c r="A15" s="414"/>
      <c r="B15" s="464"/>
      <c r="C15" s="399" t="s">
        <v>349</v>
      </c>
      <c r="D15" s="394" t="s">
        <v>402</v>
      </c>
      <c r="E15" s="365">
        <f>30*3</f>
        <v>90</v>
      </c>
      <c r="F15" s="369" t="s">
        <v>423</v>
      </c>
      <c r="G15" s="365">
        <v>200000</v>
      </c>
      <c r="H15" s="370">
        <v>43</v>
      </c>
      <c r="I15" s="370">
        <v>61123</v>
      </c>
      <c r="J15" s="370">
        <v>30</v>
      </c>
      <c r="K15" s="370" t="s">
        <v>135</v>
      </c>
      <c r="L15" s="365">
        <v>26970</v>
      </c>
      <c r="M15" s="365">
        <v>15</v>
      </c>
      <c r="N15" s="365" t="s">
        <v>135</v>
      </c>
      <c r="O15" s="365">
        <v>26885</v>
      </c>
      <c r="P15" s="365">
        <v>15</v>
      </c>
      <c r="Q15" s="365" t="s">
        <v>135</v>
      </c>
      <c r="R15" s="365"/>
      <c r="S15" s="671">
        <f t="shared" si="1"/>
        <v>15</v>
      </c>
      <c r="T15" s="629" t="s">
        <v>135</v>
      </c>
      <c r="U15" s="370">
        <f t="shared" si="0"/>
        <v>26885</v>
      </c>
      <c r="V15" s="395">
        <f t="shared" si="2"/>
        <v>58</v>
      </c>
      <c r="W15" s="629" t="s">
        <v>135</v>
      </c>
      <c r="X15" s="395">
        <f t="shared" si="3"/>
        <v>88008</v>
      </c>
      <c r="Y15" s="397">
        <f t="shared" si="4"/>
        <v>64.444444444444443</v>
      </c>
      <c r="Z15" s="629" t="s">
        <v>135</v>
      </c>
      <c r="AA15" s="397">
        <f t="shared" si="5"/>
        <v>44.003999999999998</v>
      </c>
      <c r="AB15" s="709"/>
    </row>
    <row r="16" spans="1:31" ht="23.25" customHeight="1" x14ac:dyDescent="0.25">
      <c r="A16" s="414"/>
      <c r="B16" s="463"/>
      <c r="C16" s="399" t="s">
        <v>341</v>
      </c>
      <c r="D16" s="394" t="s">
        <v>400</v>
      </c>
      <c r="E16" s="365">
        <f>1*3</f>
        <v>3</v>
      </c>
      <c r="F16" s="369" t="s">
        <v>424</v>
      </c>
      <c r="G16" s="365">
        <v>326664</v>
      </c>
      <c r="H16" s="370">
        <v>39</v>
      </c>
      <c r="I16" s="370">
        <v>177700.7</v>
      </c>
      <c r="J16" s="370">
        <v>1</v>
      </c>
      <c r="K16" s="370" t="s">
        <v>421</v>
      </c>
      <c r="L16" s="365">
        <v>42446.5</v>
      </c>
      <c r="M16" s="672">
        <v>0.5</v>
      </c>
      <c r="N16" s="365" t="s">
        <v>421</v>
      </c>
      <c r="O16" s="365">
        <v>41688.699999999997</v>
      </c>
      <c r="P16" s="672">
        <v>0.5</v>
      </c>
      <c r="Q16" s="365" t="s">
        <v>421</v>
      </c>
      <c r="R16" s="365"/>
      <c r="S16" s="673">
        <f t="shared" si="1"/>
        <v>0.5</v>
      </c>
      <c r="T16" s="629" t="s">
        <v>421</v>
      </c>
      <c r="U16" s="370">
        <f t="shared" si="0"/>
        <v>41688.699999999997</v>
      </c>
      <c r="V16" s="395">
        <f t="shared" si="2"/>
        <v>39.5</v>
      </c>
      <c r="W16" s="629" t="s">
        <v>421</v>
      </c>
      <c r="X16" s="395">
        <f t="shared" si="3"/>
        <v>219389.40000000002</v>
      </c>
      <c r="Y16" s="397">
        <f t="shared" si="4"/>
        <v>1316.6666666666665</v>
      </c>
      <c r="Z16" s="629" t="s">
        <v>421</v>
      </c>
      <c r="AA16" s="397">
        <f t="shared" si="5"/>
        <v>67.160568657703337</v>
      </c>
      <c r="AB16" s="709"/>
    </row>
    <row r="17" spans="1:33" ht="25.5" x14ac:dyDescent="0.25">
      <c r="A17" s="414"/>
      <c r="B17" s="463"/>
      <c r="C17" s="400" t="s">
        <v>350</v>
      </c>
      <c r="D17" s="394" t="s">
        <v>401</v>
      </c>
      <c r="E17" s="365">
        <f>6*3</f>
        <v>18</v>
      </c>
      <c r="F17" s="369" t="s">
        <v>425</v>
      </c>
      <c r="G17" s="365">
        <v>382775</v>
      </c>
      <c r="H17" s="370">
        <v>39</v>
      </c>
      <c r="I17" s="370">
        <v>210033</v>
      </c>
      <c r="J17" s="370">
        <v>6</v>
      </c>
      <c r="K17" s="370" t="s">
        <v>556</v>
      </c>
      <c r="L17" s="365">
        <v>30350</v>
      </c>
      <c r="M17" s="365">
        <v>3</v>
      </c>
      <c r="N17" s="365" t="s">
        <v>556</v>
      </c>
      <c r="O17" s="365">
        <v>29237.5</v>
      </c>
      <c r="P17" s="365">
        <v>3</v>
      </c>
      <c r="Q17" s="365" t="s">
        <v>556</v>
      </c>
      <c r="R17" s="365"/>
      <c r="S17" s="671">
        <f t="shared" si="1"/>
        <v>3</v>
      </c>
      <c r="T17" s="629" t="s">
        <v>556</v>
      </c>
      <c r="U17" s="370">
        <f t="shared" si="0"/>
        <v>29237.5</v>
      </c>
      <c r="V17" s="395">
        <f t="shared" si="2"/>
        <v>42</v>
      </c>
      <c r="W17" s="629" t="s">
        <v>556</v>
      </c>
      <c r="X17" s="395">
        <f t="shared" si="3"/>
        <v>239270.5</v>
      </c>
      <c r="Y17" s="397">
        <f t="shared" si="4"/>
        <v>233.33333333333334</v>
      </c>
      <c r="Z17" s="629" t="s">
        <v>556</v>
      </c>
      <c r="AA17" s="397">
        <f t="shared" si="5"/>
        <v>62.509437659199271</v>
      </c>
      <c r="AB17" s="709"/>
    </row>
    <row r="18" spans="1:33" ht="31.5" customHeight="1" x14ac:dyDescent="0.25">
      <c r="A18" s="414"/>
      <c r="B18" s="463"/>
      <c r="C18" s="400" t="s">
        <v>351</v>
      </c>
      <c r="D18" s="394" t="s">
        <v>403</v>
      </c>
      <c r="E18" s="365">
        <f>36*3</f>
        <v>108</v>
      </c>
      <c r="F18" s="369" t="s">
        <v>426</v>
      </c>
      <c r="G18" s="365">
        <v>88200</v>
      </c>
      <c r="H18" s="370">
        <v>39</v>
      </c>
      <c r="I18" s="370">
        <v>12924.2</v>
      </c>
      <c r="J18" s="370">
        <v>36</v>
      </c>
      <c r="K18" s="370" t="s">
        <v>557</v>
      </c>
      <c r="L18" s="365">
        <v>10866</v>
      </c>
      <c r="M18" s="365">
        <v>18</v>
      </c>
      <c r="N18" s="365" t="s">
        <v>557</v>
      </c>
      <c r="O18" s="365">
        <v>10863</v>
      </c>
      <c r="P18" s="365">
        <v>18</v>
      </c>
      <c r="Q18" s="369" t="s">
        <v>426</v>
      </c>
      <c r="R18" s="365"/>
      <c r="S18" s="671">
        <f t="shared" si="1"/>
        <v>18</v>
      </c>
      <c r="T18" s="629" t="s">
        <v>557</v>
      </c>
      <c r="U18" s="370">
        <f t="shared" si="0"/>
        <v>10863</v>
      </c>
      <c r="V18" s="395">
        <f t="shared" si="2"/>
        <v>57</v>
      </c>
      <c r="W18" s="629" t="s">
        <v>557</v>
      </c>
      <c r="X18" s="395">
        <f t="shared" si="3"/>
        <v>23787.200000000001</v>
      </c>
      <c r="Y18" s="397">
        <f t="shared" si="4"/>
        <v>52.777777777777779</v>
      </c>
      <c r="Z18" s="629" t="s">
        <v>557</v>
      </c>
      <c r="AA18" s="397">
        <f t="shared" si="5"/>
        <v>26.969614512471658</v>
      </c>
      <c r="AB18" s="709"/>
    </row>
    <row r="19" spans="1:33" ht="25.5" x14ac:dyDescent="0.25">
      <c r="A19" s="414"/>
      <c r="B19" s="463"/>
      <c r="C19" s="400" t="s">
        <v>339</v>
      </c>
      <c r="D19" s="394" t="s">
        <v>404</v>
      </c>
      <c r="E19" s="365">
        <f>3*3</f>
        <v>9</v>
      </c>
      <c r="F19" s="369" t="s">
        <v>423</v>
      </c>
      <c r="G19" s="365">
        <v>410000</v>
      </c>
      <c r="H19" s="370">
        <v>39</v>
      </c>
      <c r="I19" s="370">
        <v>195900.522</v>
      </c>
      <c r="J19" s="370">
        <v>3</v>
      </c>
      <c r="K19" s="370" t="s">
        <v>135</v>
      </c>
      <c r="L19" s="365">
        <v>46372.4</v>
      </c>
      <c r="M19" s="365">
        <v>0</v>
      </c>
      <c r="N19" s="365"/>
      <c r="O19" s="365">
        <v>45450</v>
      </c>
      <c r="P19" s="365">
        <v>9</v>
      </c>
      <c r="Q19" s="369" t="s">
        <v>423</v>
      </c>
      <c r="R19" s="365"/>
      <c r="S19" s="365">
        <f t="shared" si="1"/>
        <v>0</v>
      </c>
      <c r="T19" s="629"/>
      <c r="U19" s="370">
        <f t="shared" si="0"/>
        <v>45450</v>
      </c>
      <c r="V19" s="395">
        <f t="shared" si="2"/>
        <v>39</v>
      </c>
      <c r="W19" s="629"/>
      <c r="X19" s="395">
        <f t="shared" si="3"/>
        <v>241350.522</v>
      </c>
      <c r="Y19" s="397">
        <f t="shared" si="4"/>
        <v>433.33333333333331</v>
      </c>
      <c r="Z19" s="629"/>
      <c r="AA19" s="397">
        <f t="shared" si="5"/>
        <v>58.865980975609759</v>
      </c>
      <c r="AB19" s="709"/>
    </row>
    <row r="20" spans="1:33" ht="25.5" x14ac:dyDescent="0.25">
      <c r="A20" s="414"/>
      <c r="B20" s="463"/>
      <c r="C20" s="400" t="s">
        <v>344</v>
      </c>
      <c r="D20" s="394" t="s">
        <v>405</v>
      </c>
      <c r="E20" s="365">
        <f>12*3</f>
        <v>36</v>
      </c>
      <c r="F20" s="369" t="s">
        <v>422</v>
      </c>
      <c r="G20" s="365">
        <v>110000</v>
      </c>
      <c r="H20" s="370">
        <v>39</v>
      </c>
      <c r="I20" s="370">
        <v>24950</v>
      </c>
      <c r="J20" s="370">
        <v>12</v>
      </c>
      <c r="K20" s="370" t="s">
        <v>337</v>
      </c>
      <c r="L20" s="365">
        <v>5000</v>
      </c>
      <c r="M20" s="365">
        <v>6</v>
      </c>
      <c r="N20" s="365" t="s">
        <v>337</v>
      </c>
      <c r="O20" s="365">
        <v>4200</v>
      </c>
      <c r="P20" s="365">
        <v>6</v>
      </c>
      <c r="Q20" s="365" t="s">
        <v>337</v>
      </c>
      <c r="R20" s="365"/>
      <c r="S20" s="365">
        <f t="shared" si="1"/>
        <v>6</v>
      </c>
      <c r="T20" s="629" t="s">
        <v>337</v>
      </c>
      <c r="U20" s="370">
        <f t="shared" si="0"/>
        <v>4200</v>
      </c>
      <c r="V20" s="395">
        <f t="shared" si="2"/>
        <v>45</v>
      </c>
      <c r="W20" s="629" t="s">
        <v>337</v>
      </c>
      <c r="X20" s="395">
        <f t="shared" si="3"/>
        <v>29150</v>
      </c>
      <c r="Y20" s="397">
        <f t="shared" si="4"/>
        <v>125</v>
      </c>
      <c r="Z20" s="629" t="s">
        <v>337</v>
      </c>
      <c r="AA20" s="397">
        <f t="shared" si="5"/>
        <v>26.5</v>
      </c>
      <c r="AB20" s="709"/>
    </row>
    <row r="21" spans="1:33" ht="25.5" x14ac:dyDescent="0.25">
      <c r="A21" s="414"/>
      <c r="B21" s="463"/>
      <c r="C21" s="400" t="s">
        <v>352</v>
      </c>
      <c r="D21" s="394" t="s">
        <v>566</v>
      </c>
      <c r="E21" s="365">
        <f>1*3</f>
        <v>3</v>
      </c>
      <c r="F21" s="369" t="s">
        <v>424</v>
      </c>
      <c r="G21" s="365">
        <v>143000</v>
      </c>
      <c r="H21" s="370">
        <v>39</v>
      </c>
      <c r="I21" s="370">
        <v>89552.5</v>
      </c>
      <c r="J21" s="370">
        <v>1</v>
      </c>
      <c r="K21" s="370" t="s">
        <v>421</v>
      </c>
      <c r="L21" s="365">
        <v>30500</v>
      </c>
      <c r="M21" s="672">
        <v>0.5</v>
      </c>
      <c r="N21" s="365" t="s">
        <v>421</v>
      </c>
      <c r="O21" s="365">
        <v>30345</v>
      </c>
      <c r="P21" s="672">
        <v>0.5</v>
      </c>
      <c r="Q21" s="365" t="s">
        <v>421</v>
      </c>
      <c r="R21" s="365"/>
      <c r="S21" s="672">
        <f t="shared" si="1"/>
        <v>0.5</v>
      </c>
      <c r="T21" s="629" t="s">
        <v>421</v>
      </c>
      <c r="U21" s="370">
        <f t="shared" si="0"/>
        <v>30345</v>
      </c>
      <c r="V21" s="395">
        <f t="shared" si="2"/>
        <v>39.5</v>
      </c>
      <c r="W21" s="629" t="s">
        <v>421</v>
      </c>
      <c r="X21" s="395">
        <f t="shared" si="3"/>
        <v>119897.5</v>
      </c>
      <c r="Y21" s="397">
        <f t="shared" si="4"/>
        <v>1316.6666666666665</v>
      </c>
      <c r="Z21" s="629" t="s">
        <v>421</v>
      </c>
      <c r="AA21" s="397">
        <f t="shared" si="5"/>
        <v>83.844405594405586</v>
      </c>
      <c r="AB21" s="709"/>
    </row>
    <row r="22" spans="1:33" ht="25.5" x14ac:dyDescent="0.25">
      <c r="A22" s="414"/>
      <c r="B22" s="463"/>
      <c r="C22" s="400" t="s">
        <v>354</v>
      </c>
      <c r="D22" s="394" t="s">
        <v>406</v>
      </c>
      <c r="E22" s="365">
        <f>1*3</f>
        <v>3</v>
      </c>
      <c r="F22" s="369" t="s">
        <v>424</v>
      </c>
      <c r="G22" s="365">
        <v>1263571.9839999999</v>
      </c>
      <c r="H22" s="370">
        <v>39</v>
      </c>
      <c r="I22" s="370">
        <v>701914.44700000004</v>
      </c>
      <c r="J22" s="370">
        <v>1</v>
      </c>
      <c r="K22" s="370" t="s">
        <v>421</v>
      </c>
      <c r="L22" s="365">
        <v>36000</v>
      </c>
      <c r="M22" s="672">
        <v>0.5</v>
      </c>
      <c r="N22" s="365" t="s">
        <v>421</v>
      </c>
      <c r="O22" s="365">
        <v>35818.9</v>
      </c>
      <c r="P22" s="672">
        <v>0.5</v>
      </c>
      <c r="Q22" s="365" t="s">
        <v>421</v>
      </c>
      <c r="R22" s="365"/>
      <c r="S22" s="672">
        <f t="shared" si="1"/>
        <v>0.5</v>
      </c>
      <c r="T22" s="629" t="s">
        <v>421</v>
      </c>
      <c r="U22" s="370">
        <f t="shared" si="0"/>
        <v>35818.9</v>
      </c>
      <c r="V22" s="395">
        <f t="shared" si="2"/>
        <v>39.5</v>
      </c>
      <c r="W22" s="629" t="s">
        <v>421</v>
      </c>
      <c r="X22" s="395">
        <f t="shared" si="3"/>
        <v>737733.34700000007</v>
      </c>
      <c r="Y22" s="397">
        <f t="shared" si="4"/>
        <v>1316.6666666666665</v>
      </c>
      <c r="Z22" s="629" t="s">
        <v>421</v>
      </c>
      <c r="AA22" s="397">
        <f t="shared" si="5"/>
        <v>58.384750243085485</v>
      </c>
      <c r="AB22" s="709"/>
    </row>
    <row r="23" spans="1:33" x14ac:dyDescent="0.25">
      <c r="A23" s="414"/>
      <c r="B23" s="463"/>
      <c r="C23" s="400" t="s">
        <v>355</v>
      </c>
      <c r="D23" s="394" t="s">
        <v>407</v>
      </c>
      <c r="E23" s="365">
        <f>11*3</f>
        <v>33</v>
      </c>
      <c r="F23" s="369" t="s">
        <v>422</v>
      </c>
      <c r="G23" s="365">
        <v>561600</v>
      </c>
      <c r="H23" s="370">
        <v>201</v>
      </c>
      <c r="I23" s="370">
        <v>219440</v>
      </c>
      <c r="J23" s="370">
        <v>11</v>
      </c>
      <c r="K23" s="370" t="s">
        <v>337</v>
      </c>
      <c r="L23" s="365">
        <v>93650</v>
      </c>
      <c r="M23" s="365">
        <v>5</v>
      </c>
      <c r="N23" s="365" t="s">
        <v>337</v>
      </c>
      <c r="O23" s="365">
        <v>93650</v>
      </c>
      <c r="P23" s="365">
        <v>5</v>
      </c>
      <c r="Q23" s="365" t="s">
        <v>337</v>
      </c>
      <c r="R23" s="365"/>
      <c r="S23" s="365">
        <f t="shared" si="1"/>
        <v>5</v>
      </c>
      <c r="T23" s="629" t="s">
        <v>337</v>
      </c>
      <c r="U23" s="370">
        <f t="shared" si="0"/>
        <v>93650</v>
      </c>
      <c r="V23" s="395">
        <f t="shared" si="2"/>
        <v>206</v>
      </c>
      <c r="W23" s="629" t="s">
        <v>337</v>
      </c>
      <c r="X23" s="395">
        <f t="shared" si="3"/>
        <v>313090</v>
      </c>
      <c r="Y23" s="397">
        <f t="shared" si="4"/>
        <v>624.24242424242425</v>
      </c>
      <c r="Z23" s="629" t="s">
        <v>337</v>
      </c>
      <c r="AA23" s="397">
        <f t="shared" si="5"/>
        <v>55.749643874643873</v>
      </c>
      <c r="AB23" s="709"/>
      <c r="AG23">
        <f>4050000+2700000</f>
        <v>6750000</v>
      </c>
    </row>
    <row r="24" spans="1:33" ht="25.5" x14ac:dyDescent="0.25">
      <c r="A24" s="414"/>
      <c r="B24" s="463"/>
      <c r="C24" s="400" t="s">
        <v>44</v>
      </c>
      <c r="D24" s="394" t="s">
        <v>408</v>
      </c>
      <c r="E24" s="365">
        <f>1*3</f>
        <v>3</v>
      </c>
      <c r="F24" s="369" t="s">
        <v>424</v>
      </c>
      <c r="G24" s="365">
        <v>487000</v>
      </c>
      <c r="H24" s="370">
        <v>39</v>
      </c>
      <c r="I24" s="370">
        <v>213695</v>
      </c>
      <c r="J24" s="370">
        <v>1</v>
      </c>
      <c r="K24" s="370" t="s">
        <v>421</v>
      </c>
      <c r="L24" s="365">
        <v>38743.300000000003</v>
      </c>
      <c r="M24" s="672">
        <v>0.5</v>
      </c>
      <c r="N24" s="365" t="s">
        <v>421</v>
      </c>
      <c r="O24" s="365">
        <v>38677.599999999999</v>
      </c>
      <c r="P24" s="672">
        <v>0.5</v>
      </c>
      <c r="Q24" s="365" t="s">
        <v>421</v>
      </c>
      <c r="R24" s="365"/>
      <c r="S24" s="672">
        <f t="shared" si="1"/>
        <v>0.5</v>
      </c>
      <c r="T24" s="629" t="s">
        <v>421</v>
      </c>
      <c r="U24" s="370">
        <f t="shared" si="0"/>
        <v>38677.599999999999</v>
      </c>
      <c r="V24" s="395">
        <f t="shared" si="2"/>
        <v>39.5</v>
      </c>
      <c r="W24" s="629" t="s">
        <v>421</v>
      </c>
      <c r="X24" s="395">
        <f t="shared" si="3"/>
        <v>252372.6</v>
      </c>
      <c r="Y24" s="397">
        <f t="shared" si="4"/>
        <v>1316.6666666666665</v>
      </c>
      <c r="Z24" s="629" t="s">
        <v>421</v>
      </c>
      <c r="AA24" s="397">
        <f t="shared" si="5"/>
        <v>51.821889117043121</v>
      </c>
      <c r="AB24" s="709"/>
    </row>
    <row r="25" spans="1:33" x14ac:dyDescent="0.25">
      <c r="A25" s="414"/>
      <c r="B25" s="463"/>
      <c r="C25" s="400" t="s">
        <v>342</v>
      </c>
      <c r="D25" s="394" t="s">
        <v>409</v>
      </c>
      <c r="E25" s="365">
        <f>1*3</f>
        <v>3</v>
      </c>
      <c r="F25" s="369" t="s">
        <v>337</v>
      </c>
      <c r="G25" s="365">
        <v>15000</v>
      </c>
      <c r="H25" s="365">
        <v>0</v>
      </c>
      <c r="I25" s="365">
        <v>0</v>
      </c>
      <c r="J25" s="365">
        <v>1</v>
      </c>
      <c r="K25" s="365" t="s">
        <v>337</v>
      </c>
      <c r="L25" s="365">
        <v>0</v>
      </c>
      <c r="M25" s="365">
        <v>0</v>
      </c>
      <c r="N25" s="365"/>
      <c r="O25" s="365">
        <v>0</v>
      </c>
      <c r="P25" s="365">
        <v>0</v>
      </c>
      <c r="Q25" s="365"/>
      <c r="R25" s="365"/>
      <c r="S25" s="365">
        <f t="shared" si="1"/>
        <v>0</v>
      </c>
      <c r="T25" s="369"/>
      <c r="U25" s="370">
        <f t="shared" si="0"/>
        <v>0</v>
      </c>
      <c r="V25" s="395">
        <f t="shared" si="2"/>
        <v>0</v>
      </c>
      <c r="W25" s="369"/>
      <c r="X25" s="395">
        <f t="shared" si="3"/>
        <v>0</v>
      </c>
      <c r="Y25" s="397">
        <f t="shared" si="4"/>
        <v>0</v>
      </c>
      <c r="Z25" s="369"/>
      <c r="AA25" s="397">
        <f t="shared" si="5"/>
        <v>0</v>
      </c>
      <c r="AB25" s="623"/>
    </row>
    <row r="26" spans="1:33" x14ac:dyDescent="0.25">
      <c r="A26" s="414"/>
      <c r="B26" s="463"/>
      <c r="C26" s="723" t="s">
        <v>45</v>
      </c>
      <c r="D26" s="724"/>
      <c r="E26" s="724"/>
      <c r="F26" s="724"/>
      <c r="G26" s="724"/>
      <c r="H26" s="724"/>
      <c r="I26" s="724"/>
      <c r="J26" s="724"/>
      <c r="K26" s="724"/>
      <c r="L26" s="725"/>
      <c r="M26" s="407">
        <f>M11</f>
        <v>100</v>
      </c>
      <c r="N26" s="407"/>
      <c r="O26" s="407">
        <f>O11/L11*100</f>
        <v>98.237768824706038</v>
      </c>
      <c r="P26" s="407"/>
      <c r="Q26" s="407"/>
      <c r="R26" s="407"/>
      <c r="S26" s="407">
        <v>100</v>
      </c>
      <c r="T26" s="407"/>
      <c r="U26" s="407">
        <f t="shared" si="0"/>
        <v>98.237768824706038</v>
      </c>
      <c r="V26" s="392"/>
      <c r="W26" s="392"/>
      <c r="X26" s="392"/>
      <c r="Y26" s="392">
        <f>SUM(Y12:Y24)/13</f>
        <v>659.38616938616929</v>
      </c>
      <c r="Z26" s="392"/>
      <c r="AA26" s="392">
        <f>SUM(AA12:AA24)/13</f>
        <v>52.520695872398875</v>
      </c>
      <c r="AB26" s="418"/>
    </row>
    <row r="27" spans="1:33" x14ac:dyDescent="0.25">
      <c r="A27" s="414"/>
      <c r="B27" s="463"/>
      <c r="C27" s="723" t="s">
        <v>46</v>
      </c>
      <c r="D27" s="724"/>
      <c r="E27" s="724"/>
      <c r="F27" s="724"/>
      <c r="G27" s="724"/>
      <c r="H27" s="724"/>
      <c r="I27" s="724"/>
      <c r="J27" s="724"/>
      <c r="K27" s="724"/>
      <c r="L27" s="725"/>
      <c r="M27" s="375" t="s">
        <v>52</v>
      </c>
      <c r="N27" s="375"/>
      <c r="O27" s="375" t="s">
        <v>47</v>
      </c>
      <c r="P27" s="375"/>
      <c r="Q27" s="375"/>
      <c r="R27" s="375"/>
      <c r="S27" s="375" t="s">
        <v>52</v>
      </c>
      <c r="T27" s="375"/>
      <c r="U27" s="375" t="s">
        <v>52</v>
      </c>
      <c r="V27" s="375"/>
      <c r="W27" s="375"/>
      <c r="X27" s="373"/>
      <c r="Y27" s="373"/>
      <c r="Z27" s="373"/>
      <c r="AA27" s="373"/>
      <c r="AB27" s="418"/>
    </row>
    <row r="28" spans="1:33" ht="25.5" x14ac:dyDescent="0.25">
      <c r="A28" s="414"/>
      <c r="B28" s="463"/>
      <c r="C28" s="376" t="s">
        <v>49</v>
      </c>
      <c r="D28" s="376" t="s">
        <v>340</v>
      </c>
      <c r="E28" s="363">
        <f>SUM(E29:E29)/SUM(E29:E29)*100</f>
        <v>100</v>
      </c>
      <c r="F28" s="362" t="s">
        <v>50</v>
      </c>
      <c r="G28" s="406">
        <f>SUM(G29:G29)</f>
        <v>714500</v>
      </c>
      <c r="H28" s="363">
        <f>SUM(H29:H29)/SUM(H29:H29)*100</f>
        <v>100</v>
      </c>
      <c r="I28" s="406">
        <f>SUM(I29:I29)</f>
        <v>340721.36</v>
      </c>
      <c r="J28" s="363">
        <f>SUM(J29:J29)/SUM(J29:J29)*100</f>
        <v>100</v>
      </c>
      <c r="K28" s="363" t="s">
        <v>50</v>
      </c>
      <c r="L28" s="406">
        <f>SUM(L29:L29)</f>
        <v>158295.5</v>
      </c>
      <c r="M28" s="384">
        <f>((M29)/(J29))*100</f>
        <v>100</v>
      </c>
      <c r="N28" s="631" t="s">
        <v>50</v>
      </c>
      <c r="O28" s="406">
        <f>SUM(O29:O29)</f>
        <v>37814.1</v>
      </c>
      <c r="P28" s="384">
        <f>((P29)/(M29))*100</f>
        <v>50</v>
      </c>
      <c r="Q28" s="631" t="s">
        <v>50</v>
      </c>
      <c r="R28" s="406">
        <f>R29</f>
        <v>155268.9</v>
      </c>
      <c r="S28" s="406">
        <f>M28</f>
        <v>100</v>
      </c>
      <c r="T28" s="406" t="s">
        <v>50</v>
      </c>
      <c r="U28" s="406">
        <f>O28</f>
        <v>37814.1</v>
      </c>
      <c r="V28" s="393">
        <f>SUM(V29)/SUM(V29)*100</f>
        <v>100</v>
      </c>
      <c r="W28" s="393" t="s">
        <v>50</v>
      </c>
      <c r="X28" s="393">
        <f>X29</f>
        <v>378535.45999999996</v>
      </c>
      <c r="Y28" s="362">
        <f>SUM(Y29)/SUM(Y29)*100</f>
        <v>100</v>
      </c>
      <c r="Z28" s="362" t="s">
        <v>50</v>
      </c>
      <c r="AA28" s="362">
        <f>AA29</f>
        <v>52.979070678796361</v>
      </c>
      <c r="AB28" s="419"/>
    </row>
    <row r="29" spans="1:33" ht="25.5" x14ac:dyDescent="0.25">
      <c r="A29" s="414"/>
      <c r="B29" s="463"/>
      <c r="C29" s="420" t="s">
        <v>356</v>
      </c>
      <c r="D29" s="421" t="s">
        <v>415</v>
      </c>
      <c r="E29" s="422">
        <f>6*3</f>
        <v>18</v>
      </c>
      <c r="F29" s="423" t="s">
        <v>135</v>
      </c>
      <c r="G29" s="371">
        <v>714500</v>
      </c>
      <c r="H29" s="422">
        <v>27</v>
      </c>
      <c r="I29" s="422">
        <v>340721.36</v>
      </c>
      <c r="J29" s="422">
        <v>6</v>
      </c>
      <c r="K29" s="422" t="s">
        <v>135</v>
      </c>
      <c r="L29" s="371">
        <v>158295.5</v>
      </c>
      <c r="M29" s="422">
        <v>6</v>
      </c>
      <c r="N29" s="422" t="s">
        <v>135</v>
      </c>
      <c r="O29" s="422">
        <v>37814.1</v>
      </c>
      <c r="P29" s="422">
        <v>3</v>
      </c>
      <c r="Q29" s="422" t="s">
        <v>135</v>
      </c>
      <c r="R29" s="422">
        <v>155268.9</v>
      </c>
      <c r="S29" s="669">
        <v>3</v>
      </c>
      <c r="T29" s="422" t="s">
        <v>135</v>
      </c>
      <c r="U29" s="674">
        <f>O29</f>
        <v>37814.1</v>
      </c>
      <c r="V29" s="473">
        <f>S29+H29</f>
        <v>30</v>
      </c>
      <c r="W29" s="422" t="s">
        <v>135</v>
      </c>
      <c r="X29" s="426">
        <f>U29+I29</f>
        <v>378535.45999999996</v>
      </c>
      <c r="Y29" s="473">
        <f>+V29/E29*100</f>
        <v>166.66666666666669</v>
      </c>
      <c r="Z29" s="675" t="s">
        <v>135</v>
      </c>
      <c r="AA29" s="675">
        <f>+X29/G29*100</f>
        <v>52.979070678796361</v>
      </c>
      <c r="AB29" s="746" t="s">
        <v>357</v>
      </c>
    </row>
    <row r="30" spans="1:33" x14ac:dyDescent="0.25">
      <c r="A30" s="414"/>
      <c r="B30" s="463"/>
      <c r="C30" s="723" t="s">
        <v>45</v>
      </c>
      <c r="D30" s="724"/>
      <c r="E30" s="724"/>
      <c r="F30" s="724"/>
      <c r="G30" s="724"/>
      <c r="H30" s="724"/>
      <c r="I30" s="724"/>
      <c r="J30" s="724"/>
      <c r="K30" s="724"/>
      <c r="L30" s="725"/>
      <c r="M30" s="372">
        <f>M28</f>
        <v>100</v>
      </c>
      <c r="N30" s="372"/>
      <c r="O30" s="372">
        <f>O28/L28*100</f>
        <v>23.888297519512555</v>
      </c>
      <c r="P30" s="372"/>
      <c r="Q30" s="372"/>
      <c r="R30" s="372"/>
      <c r="S30" s="372">
        <f>M30</f>
        <v>100</v>
      </c>
      <c r="T30" s="372"/>
      <c r="U30" s="372">
        <f>O30</f>
        <v>23.888297519512555</v>
      </c>
      <c r="V30" s="373"/>
      <c r="W30" s="373"/>
      <c r="X30" s="373"/>
      <c r="Y30" s="373">
        <f>SUM(Y29:Y29)/1</f>
        <v>166.66666666666669</v>
      </c>
      <c r="Z30" s="373"/>
      <c r="AA30" s="676">
        <f>SUM(AA29:AA29)/1</f>
        <v>52.979070678796361</v>
      </c>
      <c r="AB30" s="747"/>
    </row>
    <row r="31" spans="1:33" x14ac:dyDescent="0.25">
      <c r="A31" s="414"/>
      <c r="B31" s="463"/>
      <c r="C31" s="723" t="s">
        <v>46</v>
      </c>
      <c r="D31" s="724"/>
      <c r="E31" s="724"/>
      <c r="F31" s="724"/>
      <c r="G31" s="724"/>
      <c r="H31" s="724"/>
      <c r="I31" s="724"/>
      <c r="J31" s="724"/>
      <c r="K31" s="724"/>
      <c r="L31" s="725"/>
      <c r="M31" s="375" t="s">
        <v>51</v>
      </c>
      <c r="N31" s="375"/>
      <c r="O31" s="375" t="s">
        <v>47</v>
      </c>
      <c r="P31" s="375"/>
      <c r="Q31" s="375"/>
      <c r="R31" s="375"/>
      <c r="S31" s="375" t="s">
        <v>51</v>
      </c>
      <c r="T31" s="375"/>
      <c r="U31" s="375" t="s">
        <v>47</v>
      </c>
      <c r="V31" s="375"/>
      <c r="W31" s="375"/>
      <c r="X31" s="373"/>
      <c r="Y31" s="373"/>
      <c r="Z31" s="373"/>
      <c r="AA31" s="676"/>
      <c r="AB31" s="748"/>
    </row>
    <row r="32" spans="1:33" ht="25.5" x14ac:dyDescent="0.25">
      <c r="A32" s="414"/>
      <c r="B32" s="463"/>
      <c r="C32" s="376" t="s">
        <v>358</v>
      </c>
      <c r="D32" s="376" t="s">
        <v>336</v>
      </c>
      <c r="E32" s="363">
        <f>SUM(E33:E33)/SUM(E33:E33)*100</f>
        <v>100</v>
      </c>
      <c r="F32" s="362" t="s">
        <v>50</v>
      </c>
      <c r="G32" s="406">
        <f>SUM(G33:G33)</f>
        <v>133150</v>
      </c>
      <c r="H32" s="363">
        <f>SUM(H33:H33)/SUM(H33:H33)*100</f>
        <v>100</v>
      </c>
      <c r="I32" s="406">
        <f>SUM(I33:I33)</f>
        <v>39390</v>
      </c>
      <c r="J32" s="363">
        <f>J33</f>
        <v>0</v>
      </c>
      <c r="K32" s="363"/>
      <c r="L32" s="406">
        <f>SUM(L33:L33)</f>
        <v>0</v>
      </c>
      <c r="M32" s="384">
        <v>0</v>
      </c>
      <c r="N32" s="384"/>
      <c r="O32" s="406">
        <f>O33</f>
        <v>0</v>
      </c>
      <c r="P32" s="406"/>
      <c r="Q32" s="406"/>
      <c r="R32" s="406"/>
      <c r="S32" s="406">
        <f>M32</f>
        <v>0</v>
      </c>
      <c r="T32" s="406"/>
      <c r="U32" s="406">
        <f>O32</f>
        <v>0</v>
      </c>
      <c r="V32" s="393">
        <f>SUM(V33)/SUM(V33)*100</f>
        <v>100</v>
      </c>
      <c r="W32" s="393" t="s">
        <v>50</v>
      </c>
      <c r="X32" s="393">
        <f>X33</f>
        <v>39390</v>
      </c>
      <c r="Y32" s="362">
        <f>SUM(Y33)/(Y33)*100</f>
        <v>100</v>
      </c>
      <c r="Z32" s="362" t="s">
        <v>50</v>
      </c>
      <c r="AA32" s="362">
        <f>AA33</f>
        <v>29.583176868193767</v>
      </c>
      <c r="AB32" s="419"/>
    </row>
    <row r="33" spans="1:28" ht="25.5" x14ac:dyDescent="0.25">
      <c r="A33" s="414"/>
      <c r="B33" s="463"/>
      <c r="C33" s="428" t="s">
        <v>345</v>
      </c>
      <c r="D33" s="421" t="s">
        <v>416</v>
      </c>
      <c r="E33" s="422">
        <f>24*3</f>
        <v>72</v>
      </c>
      <c r="F33" s="423" t="s">
        <v>427</v>
      </c>
      <c r="G33" s="371">
        <v>133150</v>
      </c>
      <c r="H33" s="422">
        <v>70</v>
      </c>
      <c r="I33" s="422">
        <v>39390</v>
      </c>
      <c r="J33" s="422">
        <v>0</v>
      </c>
      <c r="K33" s="422"/>
      <c r="L33" s="371">
        <v>0</v>
      </c>
      <c r="M33" s="422">
        <v>0</v>
      </c>
      <c r="N33" s="422"/>
      <c r="O33" s="424">
        <v>0</v>
      </c>
      <c r="P33" s="424"/>
      <c r="Q33" s="424"/>
      <c r="R33" s="424"/>
      <c r="S33" s="425">
        <f>M33</f>
        <v>0</v>
      </c>
      <c r="T33" s="425"/>
      <c r="U33" s="425">
        <f>O33</f>
        <v>0</v>
      </c>
      <c r="V33" s="426">
        <f>S33+H33</f>
        <v>70</v>
      </c>
      <c r="W33" s="426" t="s">
        <v>150</v>
      </c>
      <c r="X33" s="426">
        <f>U33+I33</f>
        <v>39390</v>
      </c>
      <c r="Y33" s="675">
        <f>+V33/E33*100</f>
        <v>97.222222222222214</v>
      </c>
      <c r="Z33" s="675" t="s">
        <v>150</v>
      </c>
      <c r="AA33" s="677">
        <f>X33/G33*100</f>
        <v>29.583176868193767</v>
      </c>
      <c r="AB33" s="749" t="s">
        <v>357</v>
      </c>
    </row>
    <row r="34" spans="1:28" x14ac:dyDescent="0.25">
      <c r="A34" s="414"/>
      <c r="B34" s="463"/>
      <c r="C34" s="723" t="s">
        <v>45</v>
      </c>
      <c r="D34" s="724"/>
      <c r="E34" s="724"/>
      <c r="F34" s="724"/>
      <c r="G34" s="724"/>
      <c r="H34" s="724"/>
      <c r="I34" s="724"/>
      <c r="J34" s="724"/>
      <c r="K34" s="724"/>
      <c r="L34" s="725"/>
      <c r="M34" s="372">
        <f>M32</f>
        <v>0</v>
      </c>
      <c r="N34" s="372"/>
      <c r="O34" s="372" t="e">
        <f>O32/L32*100</f>
        <v>#DIV/0!</v>
      </c>
      <c r="P34" s="372"/>
      <c r="Q34" s="372"/>
      <c r="R34" s="372"/>
      <c r="S34" s="372">
        <f>M34</f>
        <v>0</v>
      </c>
      <c r="T34" s="372"/>
      <c r="U34" s="372" t="e">
        <f>O34</f>
        <v>#DIV/0!</v>
      </c>
      <c r="V34" s="373"/>
      <c r="W34" s="373"/>
      <c r="X34" s="373"/>
      <c r="Y34" s="373">
        <f>SUM(Y33:Y33)/1</f>
        <v>97.222222222222214</v>
      </c>
      <c r="Z34" s="373"/>
      <c r="AA34" s="373">
        <f>SUM(AA33:AA33)/1</f>
        <v>29.583176868193767</v>
      </c>
      <c r="AB34" s="750"/>
    </row>
    <row r="35" spans="1:28" x14ac:dyDescent="0.25">
      <c r="A35" s="414"/>
      <c r="B35" s="463"/>
      <c r="C35" s="723" t="s">
        <v>46</v>
      </c>
      <c r="D35" s="724"/>
      <c r="E35" s="724"/>
      <c r="F35" s="724"/>
      <c r="G35" s="724"/>
      <c r="H35" s="724"/>
      <c r="I35" s="724"/>
      <c r="J35" s="724"/>
      <c r="K35" s="724"/>
      <c r="L35" s="725"/>
      <c r="M35" s="375" t="s">
        <v>51</v>
      </c>
      <c r="N35" s="375"/>
      <c r="O35" s="375" t="s">
        <v>51</v>
      </c>
      <c r="P35" s="375"/>
      <c r="Q35" s="375"/>
      <c r="R35" s="375"/>
      <c r="S35" s="375" t="s">
        <v>51</v>
      </c>
      <c r="T35" s="375"/>
      <c r="U35" s="375" t="s">
        <v>51</v>
      </c>
      <c r="V35" s="375"/>
      <c r="W35" s="375"/>
      <c r="X35" s="373"/>
      <c r="Y35" s="373"/>
      <c r="Z35" s="373"/>
      <c r="AA35" s="373"/>
      <c r="AB35" s="751"/>
    </row>
    <row r="36" spans="1:28" ht="25.5" x14ac:dyDescent="0.25">
      <c r="A36" s="414"/>
      <c r="B36" s="463"/>
      <c r="C36" s="376" t="s">
        <v>25</v>
      </c>
      <c r="D36" s="376" t="s">
        <v>359</v>
      </c>
      <c r="E36" s="363">
        <f>SUM(E37:E37)/SUM(E37:E37)*100</f>
        <v>100</v>
      </c>
      <c r="F36" s="362" t="s">
        <v>50</v>
      </c>
      <c r="G36" s="406">
        <f>SUM(G37:G37)</f>
        <v>703000</v>
      </c>
      <c r="H36" s="363">
        <f>SUM(H37:H37)/SUM(H37:H37)*100</f>
        <v>100</v>
      </c>
      <c r="I36" s="406">
        <f>SUM(I37:I37)</f>
        <v>317250</v>
      </c>
      <c r="J36" s="363">
        <f>SUM(J37:J37)/SUM(J37:J37)*100</f>
        <v>100</v>
      </c>
      <c r="K36" s="363" t="s">
        <v>50</v>
      </c>
      <c r="L36" s="406">
        <f>SUM(L37:L37)</f>
        <v>0</v>
      </c>
      <c r="M36" s="384">
        <f>((M37)/(J37))*100</f>
        <v>0</v>
      </c>
      <c r="N36" s="384" t="s">
        <v>50</v>
      </c>
      <c r="O36" s="406">
        <f>SUM(O37:O37)</f>
        <v>0</v>
      </c>
      <c r="P36" s="406"/>
      <c r="Q36" s="406"/>
      <c r="R36" s="406"/>
      <c r="S36" s="406">
        <f>M36</f>
        <v>0</v>
      </c>
      <c r="T36" s="406"/>
      <c r="U36" s="406">
        <f>O36</f>
        <v>0</v>
      </c>
      <c r="V36" s="393">
        <f>SUM(V37)/(V37)*100</f>
        <v>100</v>
      </c>
      <c r="W36" s="393" t="s">
        <v>50</v>
      </c>
      <c r="X36" s="393">
        <f>X37</f>
        <v>317250</v>
      </c>
      <c r="Y36" s="362">
        <f>SUM(Y37)/SUM(Y37)*100</f>
        <v>100</v>
      </c>
      <c r="Z36" s="362" t="s">
        <v>50</v>
      </c>
      <c r="AA36" s="362">
        <f>AA37</f>
        <v>45.128022759601706</v>
      </c>
      <c r="AB36" s="377"/>
    </row>
    <row r="37" spans="1:28" x14ac:dyDescent="0.25">
      <c r="A37" s="414"/>
      <c r="B37" s="463"/>
      <c r="C37" s="390" t="s">
        <v>54</v>
      </c>
      <c r="D37" s="429" t="s">
        <v>417</v>
      </c>
      <c r="E37" s="371">
        <f>5*3</f>
        <v>15</v>
      </c>
      <c r="F37" s="423" t="s">
        <v>428</v>
      </c>
      <c r="G37" s="371">
        <v>703000</v>
      </c>
      <c r="H37" s="422">
        <v>40</v>
      </c>
      <c r="I37" s="422">
        <v>317250</v>
      </c>
      <c r="J37" s="425">
        <v>1</v>
      </c>
      <c r="K37" s="425" t="s">
        <v>154</v>
      </c>
      <c r="L37" s="430">
        <v>0</v>
      </c>
      <c r="M37" s="424">
        <v>0</v>
      </c>
      <c r="N37" s="424"/>
      <c r="O37" s="424">
        <v>0</v>
      </c>
      <c r="P37" s="424"/>
      <c r="Q37" s="424"/>
      <c r="R37" s="424"/>
      <c r="S37" s="425">
        <f>M37</f>
        <v>0</v>
      </c>
      <c r="T37" s="425"/>
      <c r="U37" s="425">
        <f>O37</f>
        <v>0</v>
      </c>
      <c r="V37" s="426">
        <f>S37+H37</f>
        <v>40</v>
      </c>
      <c r="W37" s="675" t="s">
        <v>154</v>
      </c>
      <c r="X37" s="426">
        <f>U37+I37</f>
        <v>317250</v>
      </c>
      <c r="Y37" s="427">
        <f>+V37/E37*100</f>
        <v>266.66666666666663</v>
      </c>
      <c r="Z37" s="427" t="s">
        <v>154</v>
      </c>
      <c r="AA37" s="427">
        <f>+X37/G37*100</f>
        <v>45.128022759601706</v>
      </c>
      <c r="AB37" s="749" t="s">
        <v>357</v>
      </c>
    </row>
    <row r="38" spans="1:28" x14ac:dyDescent="0.25">
      <c r="A38" s="414"/>
      <c r="B38" s="463"/>
      <c r="C38" s="723" t="s">
        <v>45</v>
      </c>
      <c r="D38" s="724"/>
      <c r="E38" s="724"/>
      <c r="F38" s="724"/>
      <c r="G38" s="724"/>
      <c r="H38" s="724"/>
      <c r="I38" s="724"/>
      <c r="J38" s="724"/>
      <c r="K38" s="724"/>
      <c r="L38" s="725"/>
      <c r="M38" s="372">
        <f>M36</f>
        <v>0</v>
      </c>
      <c r="N38" s="372"/>
      <c r="O38" s="372" t="e">
        <f>O36/L36*100</f>
        <v>#DIV/0!</v>
      </c>
      <c r="P38" s="372"/>
      <c r="Q38" s="372"/>
      <c r="R38" s="372"/>
      <c r="S38" s="372">
        <f>M38</f>
        <v>0</v>
      </c>
      <c r="T38" s="372"/>
      <c r="U38" s="372" t="e">
        <f>O38</f>
        <v>#DIV/0!</v>
      </c>
      <c r="V38" s="373"/>
      <c r="W38" s="373"/>
      <c r="X38" s="373"/>
      <c r="Y38" s="373">
        <f>SUM(Y37:Y37)/1</f>
        <v>266.66666666666663</v>
      </c>
      <c r="Z38" s="373"/>
      <c r="AA38" s="373">
        <f>SUM(AA37:AA37)/1</f>
        <v>45.128022759601706</v>
      </c>
      <c r="AB38" s="750"/>
    </row>
    <row r="39" spans="1:28" x14ac:dyDescent="0.25">
      <c r="A39" s="414"/>
      <c r="B39" s="463"/>
      <c r="C39" s="723" t="s">
        <v>46</v>
      </c>
      <c r="D39" s="724"/>
      <c r="E39" s="724"/>
      <c r="F39" s="724"/>
      <c r="G39" s="724"/>
      <c r="H39" s="724"/>
      <c r="I39" s="724"/>
      <c r="J39" s="724"/>
      <c r="K39" s="724"/>
      <c r="L39" s="725"/>
      <c r="M39" s="375" t="s">
        <v>56</v>
      </c>
      <c r="N39" s="375"/>
      <c r="O39" s="375" t="s">
        <v>52</v>
      </c>
      <c r="P39" s="375"/>
      <c r="Q39" s="375"/>
      <c r="R39" s="375"/>
      <c r="S39" s="375" t="s">
        <v>51</v>
      </c>
      <c r="T39" s="375"/>
      <c r="U39" s="375" t="s">
        <v>52</v>
      </c>
      <c r="V39" s="375"/>
      <c r="W39" s="375"/>
      <c r="X39" s="373"/>
      <c r="Y39" s="373"/>
      <c r="Z39" s="373"/>
      <c r="AA39" s="373"/>
      <c r="AB39" s="751"/>
    </row>
    <row r="40" spans="1:28" ht="25.5" x14ac:dyDescent="0.25">
      <c r="A40" s="414"/>
      <c r="B40" s="463"/>
      <c r="C40" s="376" t="s">
        <v>360</v>
      </c>
      <c r="D40" s="391"/>
      <c r="E40" s="363">
        <f>SUM(E42:E43)/SUM(E42:E43)*100</f>
        <v>100</v>
      </c>
      <c r="F40" s="362" t="s">
        <v>50</v>
      </c>
      <c r="G40" s="406">
        <f>SUM(G42:G43)</f>
        <v>95900</v>
      </c>
      <c r="H40" s="363">
        <f>SUM(H42:H43)/SUM(H42:H43)*100</f>
        <v>100</v>
      </c>
      <c r="I40" s="406">
        <f>SUM(I42:I43)</f>
        <v>40495</v>
      </c>
      <c r="J40" s="363"/>
      <c r="K40" s="363"/>
      <c r="L40" s="406"/>
      <c r="M40" s="384"/>
      <c r="N40" s="384"/>
      <c r="O40" s="406"/>
      <c r="P40" s="406"/>
      <c r="Q40" s="406"/>
      <c r="R40" s="406"/>
      <c r="S40" s="406"/>
      <c r="T40" s="406"/>
      <c r="U40" s="406"/>
      <c r="V40" s="393"/>
      <c r="W40" s="393"/>
      <c r="X40" s="393"/>
      <c r="Y40" s="362"/>
      <c r="Z40" s="362"/>
      <c r="AA40" s="362"/>
      <c r="AB40" s="381"/>
    </row>
    <row r="41" spans="1:28" ht="25.5" x14ac:dyDescent="0.25">
      <c r="A41" s="414"/>
      <c r="B41" s="463"/>
      <c r="C41" s="477"/>
      <c r="D41" s="391" t="s">
        <v>420</v>
      </c>
      <c r="E41" s="478"/>
      <c r="F41" s="479"/>
      <c r="G41" s="480"/>
      <c r="H41" s="481"/>
      <c r="I41" s="482"/>
      <c r="J41" s="481">
        <f>7/7*100</f>
        <v>100</v>
      </c>
      <c r="K41" s="481" t="s">
        <v>50</v>
      </c>
      <c r="L41" s="480">
        <f>SUM(L42:L43)</f>
        <v>14000</v>
      </c>
      <c r="M41" s="483">
        <f>SUM(M42)/(M42)*100</f>
        <v>100</v>
      </c>
      <c r="N41" s="483" t="s">
        <v>50</v>
      </c>
      <c r="O41" s="484">
        <f>SUM(O42:O43)</f>
        <v>7000</v>
      </c>
      <c r="P41" s="484"/>
      <c r="Q41" s="484"/>
      <c r="R41" s="484"/>
      <c r="S41" s="482">
        <f>SUM(S42:S43)/SUM(S42:S43)*100</f>
        <v>100</v>
      </c>
      <c r="T41" s="482" t="s">
        <v>50</v>
      </c>
      <c r="U41" s="482">
        <f>U42</f>
        <v>7000</v>
      </c>
      <c r="V41" s="486">
        <f>SUM(V42:V43)/SUM(V42:V43)*100</f>
        <v>100</v>
      </c>
      <c r="W41" s="486" t="s">
        <v>50</v>
      </c>
      <c r="X41" s="486">
        <f>SUM(X42:X43)</f>
        <v>47495</v>
      </c>
      <c r="Y41" s="487">
        <f>SUM(Y42:Y43)/SUM(Y42:Y43)*100</f>
        <v>100</v>
      </c>
      <c r="Z41" s="487" t="s">
        <v>50</v>
      </c>
      <c r="AA41" s="487">
        <f>SUM(AA42:AA43)</f>
        <v>78.641748942172072</v>
      </c>
      <c r="AB41" s="488"/>
    </row>
    <row r="42" spans="1:28" x14ac:dyDescent="0.25">
      <c r="A42" s="414"/>
      <c r="B42" s="463"/>
      <c r="C42" s="389" t="s">
        <v>343</v>
      </c>
      <c r="D42" s="394" t="s">
        <v>418</v>
      </c>
      <c r="E42" s="365">
        <f>4*3</f>
        <v>12</v>
      </c>
      <c r="F42" s="369" t="s">
        <v>162</v>
      </c>
      <c r="G42" s="365">
        <v>70900</v>
      </c>
      <c r="H42" s="370">
        <v>30</v>
      </c>
      <c r="I42" s="370">
        <v>35995</v>
      </c>
      <c r="J42" s="370">
        <v>10</v>
      </c>
      <c r="K42" s="370" t="s">
        <v>162</v>
      </c>
      <c r="L42" s="365">
        <v>14000</v>
      </c>
      <c r="M42" s="424">
        <v>5</v>
      </c>
      <c r="N42" s="424" t="s">
        <v>162</v>
      </c>
      <c r="O42" s="424">
        <v>7000</v>
      </c>
      <c r="P42" s="686"/>
      <c r="Q42" s="686"/>
      <c r="R42" s="686"/>
      <c r="S42" s="366">
        <f>M42</f>
        <v>5</v>
      </c>
      <c r="T42" s="366" t="s">
        <v>162</v>
      </c>
      <c r="U42" s="366">
        <f>O42</f>
        <v>7000</v>
      </c>
      <c r="V42" s="395">
        <f>S42+H42</f>
        <v>35</v>
      </c>
      <c r="W42" s="395" t="s">
        <v>162</v>
      </c>
      <c r="X42" s="395">
        <f>U42+I42</f>
        <v>42995</v>
      </c>
      <c r="Y42" s="416">
        <f>+V42/E42*100</f>
        <v>291.66666666666663</v>
      </c>
      <c r="Z42" s="416" t="s">
        <v>162</v>
      </c>
      <c r="AA42" s="416">
        <f>+X42/G42*100</f>
        <v>60.641748942172072</v>
      </c>
      <c r="AB42" s="752" t="s">
        <v>357</v>
      </c>
    </row>
    <row r="43" spans="1:28" ht="25.5" x14ac:dyDescent="0.25">
      <c r="A43" s="414"/>
      <c r="B43" s="463"/>
      <c r="C43" s="390" t="s">
        <v>361</v>
      </c>
      <c r="D43" s="394" t="s">
        <v>418</v>
      </c>
      <c r="E43" s="371">
        <v>1</v>
      </c>
      <c r="F43" s="474" t="s">
        <v>162</v>
      </c>
      <c r="G43" s="371">
        <v>25000</v>
      </c>
      <c r="H43" s="430">
        <v>1</v>
      </c>
      <c r="I43" s="430">
        <v>4500</v>
      </c>
      <c r="J43" s="379">
        <v>0</v>
      </c>
      <c r="K43" s="379"/>
      <c r="L43" s="430">
        <v>0</v>
      </c>
      <c r="M43" s="430">
        <v>0</v>
      </c>
      <c r="N43" s="430"/>
      <c r="O43" s="430">
        <v>0</v>
      </c>
      <c r="P43" s="430"/>
      <c r="Q43" s="430"/>
      <c r="R43" s="430"/>
      <c r="S43" s="379">
        <f>M43</f>
        <v>0</v>
      </c>
      <c r="T43" s="425"/>
      <c r="U43" s="425">
        <f>O43</f>
        <v>0</v>
      </c>
      <c r="V43" s="426">
        <f>S43+H43</f>
        <v>1</v>
      </c>
      <c r="W43" s="426" t="s">
        <v>162</v>
      </c>
      <c r="X43" s="426">
        <f>U43+I43</f>
        <v>4500</v>
      </c>
      <c r="Y43" s="427">
        <f>+V43/E43*100</f>
        <v>100</v>
      </c>
      <c r="Z43" s="427" t="s">
        <v>162</v>
      </c>
      <c r="AA43" s="427">
        <f>+X43/G43*100</f>
        <v>18</v>
      </c>
      <c r="AB43" s="753"/>
    </row>
    <row r="44" spans="1:28" x14ac:dyDescent="0.25">
      <c r="A44" s="723" t="s">
        <v>45</v>
      </c>
      <c r="B44" s="724"/>
      <c r="C44" s="724"/>
      <c r="D44" s="724"/>
      <c r="E44" s="724"/>
      <c r="F44" s="724"/>
      <c r="G44" s="724"/>
      <c r="H44" s="724"/>
      <c r="I44" s="724"/>
      <c r="J44" s="724"/>
      <c r="K44" s="724"/>
      <c r="L44" s="725"/>
      <c r="M44" s="372">
        <f>M40</f>
        <v>0</v>
      </c>
      <c r="N44" s="372"/>
      <c r="O44" s="372">
        <f>O42/L42*100</f>
        <v>50</v>
      </c>
      <c r="P44" s="372"/>
      <c r="Q44" s="372"/>
      <c r="R44" s="372"/>
      <c r="S44" s="372">
        <f>M44</f>
        <v>0</v>
      </c>
      <c r="T44" s="372"/>
      <c r="U44" s="372">
        <f>O44</f>
        <v>50</v>
      </c>
      <c r="V44" s="373"/>
      <c r="W44" s="373"/>
      <c r="X44" s="373"/>
      <c r="Y44" s="373">
        <f>SUM(Y42:Y43)/2</f>
        <v>195.83333333333331</v>
      </c>
      <c r="Z44" s="373"/>
      <c r="AA44" s="373">
        <f>SUM(AA42:AA43)/2</f>
        <v>39.320874471086036</v>
      </c>
      <c r="AB44" s="385"/>
    </row>
    <row r="45" spans="1:28" x14ac:dyDescent="0.25">
      <c r="A45" s="706" t="s">
        <v>46</v>
      </c>
      <c r="B45" s="707"/>
      <c r="C45" s="707"/>
      <c r="D45" s="707"/>
      <c r="E45" s="707"/>
      <c r="F45" s="707"/>
      <c r="G45" s="707"/>
      <c r="H45" s="707"/>
      <c r="I45" s="707"/>
      <c r="J45" s="707"/>
      <c r="K45" s="707"/>
      <c r="L45" s="708"/>
      <c r="M45" s="431" t="s">
        <v>51</v>
      </c>
      <c r="N45" s="431"/>
      <c r="O45" s="431" t="s">
        <v>48</v>
      </c>
      <c r="P45" s="431"/>
      <c r="Q45" s="431"/>
      <c r="R45" s="431"/>
      <c r="S45" s="431" t="s">
        <v>51</v>
      </c>
      <c r="T45" s="431"/>
      <c r="U45" s="431" t="s">
        <v>52</v>
      </c>
      <c r="V45" s="431"/>
      <c r="W45" s="431"/>
      <c r="X45" s="432"/>
      <c r="Y45" s="432"/>
      <c r="Z45" s="432"/>
      <c r="AA45" s="432"/>
      <c r="AB45" s="625"/>
    </row>
    <row r="46" spans="1:28" ht="89.25" x14ac:dyDescent="0.25">
      <c r="A46" s="434"/>
      <c r="B46" s="467" t="s">
        <v>381</v>
      </c>
      <c r="C46" s="446" t="s">
        <v>372</v>
      </c>
      <c r="D46" s="435" t="s">
        <v>373</v>
      </c>
      <c r="E46" s="436">
        <f>SUM(E47:E49)/SUM(E47:E49)*100</f>
        <v>100</v>
      </c>
      <c r="F46" s="360" t="s">
        <v>50</v>
      </c>
      <c r="G46" s="437">
        <f>SUM(G47:G49)</f>
        <v>2749739.5</v>
      </c>
      <c r="H46" s="436">
        <f>SUM(H47:H49)/SUM(H47:H49)*100</f>
        <v>100</v>
      </c>
      <c r="I46" s="437">
        <f>SUM(I47:I49)</f>
        <v>1838558.9079999998</v>
      </c>
      <c r="J46" s="436">
        <f>SUM(J47:J49)/SUM(J47:J49)*100</f>
        <v>100</v>
      </c>
      <c r="K46" s="436" t="s">
        <v>50</v>
      </c>
      <c r="L46" s="437">
        <f>SUM(L47:L49)</f>
        <v>102641</v>
      </c>
      <c r="M46" s="436">
        <f>SUM(M47:M49)/SUM(J47:J49)*100</f>
        <v>100</v>
      </c>
      <c r="N46" s="436" t="s">
        <v>50</v>
      </c>
      <c r="O46" s="437">
        <f>SUM(O47:O49)</f>
        <v>62697.9</v>
      </c>
      <c r="P46" s="437"/>
      <c r="Q46" s="437"/>
      <c r="R46" s="437"/>
      <c r="S46" s="437">
        <f>M46</f>
        <v>100</v>
      </c>
      <c r="T46" s="437" t="s">
        <v>50</v>
      </c>
      <c r="U46" s="437">
        <f>O46</f>
        <v>62697.9</v>
      </c>
      <c r="V46" s="364">
        <f>SUM(V47:V49)/SUM(V47:V49)*100</f>
        <v>100</v>
      </c>
      <c r="W46" s="364" t="s">
        <v>50</v>
      </c>
      <c r="X46" s="364">
        <f>SUM(X47:X49)</f>
        <v>1901256.8079999997</v>
      </c>
      <c r="Y46" s="360">
        <f>SUM(Y47:Y49)/SUM(Y47:Y49)*100</f>
        <v>100</v>
      </c>
      <c r="Z46" s="360" t="s">
        <v>50</v>
      </c>
      <c r="AA46" s="360">
        <f>SUM(AA47:AA49)</f>
        <v>67.96464426486294</v>
      </c>
      <c r="AB46" s="382"/>
    </row>
    <row r="47" spans="1:28" ht="25.5" x14ac:dyDescent="0.25">
      <c r="A47" s="438"/>
      <c r="B47" s="465"/>
      <c r="C47" s="462" t="s">
        <v>374</v>
      </c>
      <c r="D47" s="394" t="s">
        <v>377</v>
      </c>
      <c r="E47" s="440">
        <f>2*3</f>
        <v>6</v>
      </c>
      <c r="F47" s="439" t="s">
        <v>362</v>
      </c>
      <c r="G47" s="440">
        <v>1375300</v>
      </c>
      <c r="H47" s="397">
        <v>5</v>
      </c>
      <c r="I47" s="397">
        <v>1260553.46</v>
      </c>
      <c r="J47" s="440">
        <v>1</v>
      </c>
      <c r="K47" s="397" t="s">
        <v>520</v>
      </c>
      <c r="L47" s="396">
        <v>47386</v>
      </c>
      <c r="M47" s="397">
        <v>1</v>
      </c>
      <c r="N47" s="397" t="s">
        <v>520</v>
      </c>
      <c r="O47" s="441">
        <v>29741.9</v>
      </c>
      <c r="P47" s="403"/>
      <c r="Q47" s="403"/>
      <c r="R47" s="403"/>
      <c r="S47" s="398">
        <f>M47</f>
        <v>1</v>
      </c>
      <c r="T47" s="397" t="s">
        <v>520</v>
      </c>
      <c r="U47" s="416">
        <f>O47</f>
        <v>29741.9</v>
      </c>
      <c r="V47" s="395">
        <f>S47+H47</f>
        <v>6</v>
      </c>
      <c r="W47" s="397" t="s">
        <v>520</v>
      </c>
      <c r="X47" s="395">
        <f>U47+I47</f>
        <v>1290295.3599999999</v>
      </c>
      <c r="Y47" s="416">
        <f>V47/E47*100</f>
        <v>100</v>
      </c>
      <c r="Z47" s="397" t="s">
        <v>520</v>
      </c>
      <c r="AA47" s="416">
        <v>0</v>
      </c>
      <c r="AB47" s="754" t="s">
        <v>357</v>
      </c>
    </row>
    <row r="48" spans="1:28" ht="25.5" x14ac:dyDescent="0.25">
      <c r="A48" s="402"/>
      <c r="B48" s="465"/>
      <c r="C48" s="394" t="s">
        <v>375</v>
      </c>
      <c r="D48" s="389" t="s">
        <v>378</v>
      </c>
      <c r="E48" s="440">
        <f>2*3</f>
        <v>6</v>
      </c>
      <c r="F48" s="439" t="s">
        <v>362</v>
      </c>
      <c r="G48" s="440">
        <v>914439.5</v>
      </c>
      <c r="H48" s="365">
        <v>6</v>
      </c>
      <c r="I48" s="365">
        <v>578005.44799999997</v>
      </c>
      <c r="J48" s="365">
        <v>1</v>
      </c>
      <c r="K48" s="365" t="s">
        <v>520</v>
      </c>
      <c r="L48" s="365">
        <v>25235</v>
      </c>
      <c r="M48" s="397">
        <v>1</v>
      </c>
      <c r="N48" s="365" t="s">
        <v>520</v>
      </c>
      <c r="O48" s="441">
        <v>22293</v>
      </c>
      <c r="P48" s="403"/>
      <c r="Q48" s="403"/>
      <c r="R48" s="403"/>
      <c r="S48" s="398">
        <f>M48</f>
        <v>1</v>
      </c>
      <c r="T48" s="365" t="s">
        <v>520</v>
      </c>
      <c r="U48" s="416">
        <f>O48</f>
        <v>22293</v>
      </c>
      <c r="V48" s="395">
        <f>S48+H48</f>
        <v>7</v>
      </c>
      <c r="W48" s="365" t="s">
        <v>520</v>
      </c>
      <c r="X48" s="395">
        <f>U48+I48</f>
        <v>600298.44799999997</v>
      </c>
      <c r="Y48" s="416">
        <f>+V48/E48*100</f>
        <v>116.66666666666667</v>
      </c>
      <c r="Z48" s="365" t="s">
        <v>520</v>
      </c>
      <c r="AA48" s="416">
        <f>+X48/G48*100</f>
        <v>65.646600786602065</v>
      </c>
      <c r="AB48" s="754"/>
    </row>
    <row r="49" spans="1:28" ht="25.5" x14ac:dyDescent="0.25">
      <c r="A49" s="402"/>
      <c r="B49" s="465"/>
      <c r="C49" s="394" t="s">
        <v>376</v>
      </c>
      <c r="D49" s="389" t="s">
        <v>379</v>
      </c>
      <c r="E49" s="440">
        <f>1*3</f>
        <v>3</v>
      </c>
      <c r="F49" s="439" t="s">
        <v>362</v>
      </c>
      <c r="G49" s="440">
        <f>460000</f>
        <v>460000</v>
      </c>
      <c r="H49" s="365">
        <v>0</v>
      </c>
      <c r="I49" s="365">
        <v>0</v>
      </c>
      <c r="J49" s="365">
        <v>1</v>
      </c>
      <c r="K49" s="365" t="s">
        <v>520</v>
      </c>
      <c r="L49" s="365">
        <v>30020</v>
      </c>
      <c r="M49" s="365">
        <v>1</v>
      </c>
      <c r="N49" s="365" t="s">
        <v>520</v>
      </c>
      <c r="O49" s="396">
        <v>10663</v>
      </c>
      <c r="P49" s="687"/>
      <c r="Q49" s="687"/>
      <c r="R49" s="687"/>
      <c r="S49" s="398">
        <f>M49</f>
        <v>1</v>
      </c>
      <c r="T49" s="365" t="s">
        <v>520</v>
      </c>
      <c r="U49" s="416">
        <f>O49</f>
        <v>10663</v>
      </c>
      <c r="V49" s="395">
        <f>S49+H49</f>
        <v>1</v>
      </c>
      <c r="W49" s="365" t="s">
        <v>520</v>
      </c>
      <c r="X49" s="395">
        <f>U49+I49</f>
        <v>10663</v>
      </c>
      <c r="Y49" s="416">
        <f>+V49/E49*100</f>
        <v>33.333333333333329</v>
      </c>
      <c r="Z49" s="365" t="s">
        <v>520</v>
      </c>
      <c r="AA49" s="416">
        <f>+X49/G49*100</f>
        <v>2.3180434782608694</v>
      </c>
      <c r="AB49" s="754"/>
    </row>
    <row r="50" spans="1:28" x14ac:dyDescent="0.25">
      <c r="A50" s="402"/>
      <c r="B50" s="465"/>
      <c r="C50" s="389"/>
      <c r="D50" s="389"/>
      <c r="E50" s="473"/>
      <c r="F50" s="439"/>
      <c r="G50" s="440"/>
      <c r="H50" s="365"/>
      <c r="I50" s="365"/>
      <c r="J50" s="365"/>
      <c r="K50" s="365"/>
      <c r="L50" s="365"/>
      <c r="M50" s="367"/>
      <c r="N50" s="367"/>
      <c r="O50" s="396"/>
      <c r="P50" s="396"/>
      <c r="Q50" s="396"/>
      <c r="R50" s="396"/>
      <c r="S50" s="442"/>
      <c r="T50" s="442"/>
      <c r="U50" s="378"/>
      <c r="V50" s="395"/>
      <c r="W50" s="395"/>
      <c r="X50" s="395"/>
      <c r="Y50" s="416"/>
      <c r="Z50" s="416"/>
      <c r="AA50" s="416"/>
      <c r="AB50" s="461"/>
    </row>
    <row r="51" spans="1:28" x14ac:dyDescent="0.25">
      <c r="A51" s="414"/>
      <c r="B51" s="465"/>
      <c r="C51" s="723" t="s">
        <v>45</v>
      </c>
      <c r="D51" s="724"/>
      <c r="E51" s="724"/>
      <c r="F51" s="724"/>
      <c r="G51" s="724"/>
      <c r="H51" s="724"/>
      <c r="I51" s="724"/>
      <c r="J51" s="724"/>
      <c r="K51" s="724"/>
      <c r="L51" s="725"/>
      <c r="M51" s="407">
        <f>M46</f>
        <v>100</v>
      </c>
      <c r="N51" s="407"/>
      <c r="O51" s="407">
        <f>O46/L46*100</f>
        <v>61.084654280453229</v>
      </c>
      <c r="P51" s="407"/>
      <c r="Q51" s="407"/>
      <c r="R51" s="407"/>
      <c r="S51" s="407">
        <f>M51</f>
        <v>100</v>
      </c>
      <c r="T51" s="407"/>
      <c r="U51" s="407">
        <f>O51</f>
        <v>61.084654280453229</v>
      </c>
      <c r="V51" s="392"/>
      <c r="W51" s="392"/>
      <c r="X51" s="392"/>
      <c r="Y51" s="392">
        <f>SUM(Y47:Y49)/3</f>
        <v>83.333333333333329</v>
      </c>
      <c r="Z51" s="392"/>
      <c r="AA51" s="392">
        <f>SUM(AA47:AA49)/3</f>
        <v>22.654881421620981</v>
      </c>
      <c r="AB51" s="418"/>
    </row>
    <row r="52" spans="1:28" x14ac:dyDescent="0.25">
      <c r="A52" s="414"/>
      <c r="B52" s="465"/>
      <c r="C52" s="723" t="s">
        <v>46</v>
      </c>
      <c r="D52" s="724"/>
      <c r="E52" s="724"/>
      <c r="F52" s="724"/>
      <c r="G52" s="724"/>
      <c r="H52" s="724"/>
      <c r="I52" s="724"/>
      <c r="J52" s="724"/>
      <c r="K52" s="724"/>
      <c r="L52" s="725"/>
      <c r="M52" s="431" t="s">
        <v>51</v>
      </c>
      <c r="N52" s="431"/>
      <c r="O52" s="431" t="s">
        <v>51</v>
      </c>
      <c r="P52" s="431"/>
      <c r="Q52" s="431"/>
      <c r="R52" s="431"/>
      <c r="S52" s="431" t="s">
        <v>51</v>
      </c>
      <c r="T52" s="431"/>
      <c r="U52" s="431" t="s">
        <v>51</v>
      </c>
      <c r="V52" s="431"/>
      <c r="W52" s="431"/>
      <c r="X52" s="432"/>
      <c r="Y52" s="432"/>
      <c r="Z52" s="432"/>
      <c r="AA52" s="432"/>
      <c r="AB52" s="418"/>
    </row>
    <row r="53" spans="1:28" ht="25.5" x14ac:dyDescent="0.25">
      <c r="A53" s="447"/>
      <c r="B53" s="465"/>
      <c r="C53" s="361" t="s">
        <v>363</v>
      </c>
      <c r="D53" s="380" t="s">
        <v>364</v>
      </c>
      <c r="E53" s="436">
        <f>SUM(E54:E59)/SUM(E54:E59)*100</f>
        <v>100</v>
      </c>
      <c r="F53" s="360" t="s">
        <v>50</v>
      </c>
      <c r="G53" s="437">
        <f>SUM(G54:G59)</f>
        <v>1895650</v>
      </c>
      <c r="H53" s="436">
        <f>SUM(H54:H59)/SUM(H54:H59)*100</f>
        <v>100</v>
      </c>
      <c r="I53" s="437">
        <f>SUM(I54:I59)</f>
        <v>412394.08100000001</v>
      </c>
      <c r="J53" s="436">
        <f>SUM(J54:J59)/SUM(J54:J59)*100</f>
        <v>100</v>
      </c>
      <c r="K53" s="436" t="s">
        <v>50</v>
      </c>
      <c r="L53" s="437">
        <f>SUM(L54:L59)</f>
        <v>25475</v>
      </c>
      <c r="M53" s="436">
        <f>SUM(M54:M59)/SUM(J54:J59)*100</f>
        <v>100</v>
      </c>
      <c r="N53" s="436" t="s">
        <v>50</v>
      </c>
      <c r="O53" s="437">
        <f>SUM(O54:O59)</f>
        <v>1020</v>
      </c>
      <c r="P53" s="437"/>
      <c r="Q53" s="437"/>
      <c r="R53" s="437"/>
      <c r="S53" s="437">
        <f>SUM(S54:S59)/SUM(S54:S59)*100</f>
        <v>100</v>
      </c>
      <c r="T53" s="437" t="s">
        <v>50</v>
      </c>
      <c r="U53" s="437">
        <f t="shared" ref="U53:U60" si="6">O53</f>
        <v>1020</v>
      </c>
      <c r="V53" s="364">
        <f>SUM(V54:V59)/SUM(V54:V59)*100</f>
        <v>100</v>
      </c>
      <c r="W53" s="364" t="s">
        <v>50</v>
      </c>
      <c r="X53" s="364">
        <f>SUM(X54:X59)</f>
        <v>413414.08100000001</v>
      </c>
      <c r="Y53" s="360">
        <f>SUM(Y54:Y59)/SUM(Y54:Y59)*100</f>
        <v>100</v>
      </c>
      <c r="Z53" s="360" t="s">
        <v>50</v>
      </c>
      <c r="AA53" s="360">
        <f>SUM(AA54:AA59)</f>
        <v>251.94169785846566</v>
      </c>
      <c r="AB53" s="382"/>
    </row>
    <row r="54" spans="1:28" x14ac:dyDescent="0.25">
      <c r="A54" s="448"/>
      <c r="B54" s="465"/>
      <c r="C54" s="449" t="s">
        <v>365</v>
      </c>
      <c r="D54" s="445" t="s">
        <v>410</v>
      </c>
      <c r="E54" s="441">
        <f>2*3</f>
        <v>6</v>
      </c>
      <c r="F54" s="450" t="s">
        <v>429</v>
      </c>
      <c r="G54" s="441">
        <v>265650</v>
      </c>
      <c r="H54" s="403">
        <v>9</v>
      </c>
      <c r="I54" s="403">
        <v>191011.641</v>
      </c>
      <c r="J54" s="404">
        <v>1</v>
      </c>
      <c r="K54" s="404" t="s">
        <v>157</v>
      </c>
      <c r="L54" s="441">
        <v>23725</v>
      </c>
      <c r="M54" s="441">
        <v>1</v>
      </c>
      <c r="N54" s="441" t="s">
        <v>157</v>
      </c>
      <c r="O54" s="441">
        <v>1020</v>
      </c>
      <c r="P54" s="403"/>
      <c r="Q54" s="403"/>
      <c r="R54" s="403"/>
      <c r="S54" s="404">
        <f t="shared" ref="S54:S58" si="7">M54</f>
        <v>1</v>
      </c>
      <c r="T54" s="404" t="s">
        <v>157</v>
      </c>
      <c r="U54" s="404">
        <f t="shared" si="6"/>
        <v>1020</v>
      </c>
      <c r="V54" s="395">
        <f t="shared" ref="V54:V59" si="8">S54+H54</f>
        <v>10</v>
      </c>
      <c r="W54" s="395"/>
      <c r="X54" s="395">
        <f t="shared" ref="X54:X59" si="9">U54+I54</f>
        <v>192031.641</v>
      </c>
      <c r="Y54" s="416">
        <f>+V54/E54*100</f>
        <v>166.66666666666669</v>
      </c>
      <c r="Z54" s="416"/>
      <c r="AA54" s="416">
        <f t="shared" ref="AA54:AA59" si="10">+X54/G54*100</f>
        <v>72.28746132128741</v>
      </c>
      <c r="AB54" s="627"/>
    </row>
    <row r="55" spans="1:28" x14ac:dyDescent="0.25">
      <c r="A55" s="448"/>
      <c r="B55" s="465"/>
      <c r="C55" s="449" t="s">
        <v>366</v>
      </c>
      <c r="D55" s="445" t="s">
        <v>419</v>
      </c>
      <c r="E55" s="441">
        <v>0</v>
      </c>
      <c r="F55" s="450" t="s">
        <v>157</v>
      </c>
      <c r="G55" s="441">
        <v>365000</v>
      </c>
      <c r="H55" s="403">
        <v>0</v>
      </c>
      <c r="I55" s="403">
        <v>21655</v>
      </c>
      <c r="J55" s="404">
        <v>0</v>
      </c>
      <c r="K55" s="404"/>
      <c r="L55" s="441">
        <v>0</v>
      </c>
      <c r="M55" s="403">
        <v>0</v>
      </c>
      <c r="N55" s="403"/>
      <c r="O55" s="403">
        <v>0</v>
      </c>
      <c r="P55" s="403"/>
      <c r="Q55" s="403"/>
      <c r="R55" s="403"/>
      <c r="S55" s="404">
        <f t="shared" si="7"/>
        <v>0</v>
      </c>
      <c r="T55" s="404"/>
      <c r="U55" s="404">
        <f t="shared" si="6"/>
        <v>0</v>
      </c>
      <c r="V55" s="395">
        <f t="shared" si="8"/>
        <v>0</v>
      </c>
      <c r="W55" s="395"/>
      <c r="X55" s="395">
        <f t="shared" si="9"/>
        <v>21655</v>
      </c>
      <c r="Y55" s="416">
        <v>0</v>
      </c>
      <c r="Z55" s="416"/>
      <c r="AA55" s="416">
        <f t="shared" si="10"/>
        <v>5.9328767123287669</v>
      </c>
      <c r="AB55" s="627"/>
    </row>
    <row r="56" spans="1:28" ht="25.5" x14ac:dyDescent="0.25">
      <c r="A56" s="448"/>
      <c r="B56" s="465"/>
      <c r="C56" s="449" t="s">
        <v>367</v>
      </c>
      <c r="D56" s="445" t="s">
        <v>412</v>
      </c>
      <c r="E56" s="441">
        <v>0</v>
      </c>
      <c r="F56" s="450" t="str">
        <f>F54</f>
        <v>lomba</v>
      </c>
      <c r="G56" s="441">
        <v>600000</v>
      </c>
      <c r="H56" s="403">
        <v>0</v>
      </c>
      <c r="I56" s="403">
        <v>0</v>
      </c>
      <c r="J56" s="404">
        <v>0</v>
      </c>
      <c r="K56" s="404"/>
      <c r="L56" s="441">
        <v>0</v>
      </c>
      <c r="M56" s="403">
        <v>0</v>
      </c>
      <c r="N56" s="403"/>
      <c r="O56" s="403">
        <v>0</v>
      </c>
      <c r="P56" s="403"/>
      <c r="Q56" s="403"/>
      <c r="R56" s="403"/>
      <c r="S56" s="404">
        <f t="shared" si="7"/>
        <v>0</v>
      </c>
      <c r="T56" s="404"/>
      <c r="U56" s="404">
        <f t="shared" si="6"/>
        <v>0</v>
      </c>
      <c r="V56" s="395">
        <f t="shared" si="8"/>
        <v>0</v>
      </c>
      <c r="W56" s="395"/>
      <c r="X56" s="395">
        <f t="shared" si="9"/>
        <v>0</v>
      </c>
      <c r="Y56" s="416">
        <v>0</v>
      </c>
      <c r="Z56" s="416"/>
      <c r="AA56" s="416">
        <f t="shared" si="10"/>
        <v>0</v>
      </c>
      <c r="AB56" s="627"/>
    </row>
    <row r="57" spans="1:28" ht="25.5" x14ac:dyDescent="0.25">
      <c r="A57" s="448"/>
      <c r="B57" s="465"/>
      <c r="C57" s="449" t="s">
        <v>380</v>
      </c>
      <c r="D57" s="445" t="s">
        <v>411</v>
      </c>
      <c r="E57" s="441">
        <f>2*3</f>
        <v>6</v>
      </c>
      <c r="F57" s="450" t="s">
        <v>337</v>
      </c>
      <c r="G57" s="441">
        <v>145000</v>
      </c>
      <c r="H57" s="403">
        <v>2</v>
      </c>
      <c r="I57" s="403">
        <v>98222.44</v>
      </c>
      <c r="J57" s="404">
        <v>1</v>
      </c>
      <c r="K57" s="404" t="s">
        <v>157</v>
      </c>
      <c r="L57" s="441">
        <v>1750</v>
      </c>
      <c r="M57" s="403">
        <v>1</v>
      </c>
      <c r="N57" s="403" t="s">
        <v>157</v>
      </c>
      <c r="O57" s="403">
        <v>0</v>
      </c>
      <c r="P57" s="403"/>
      <c r="Q57" s="403"/>
      <c r="R57" s="403"/>
      <c r="S57" s="404">
        <f t="shared" si="7"/>
        <v>1</v>
      </c>
      <c r="T57" s="404" t="s">
        <v>157</v>
      </c>
      <c r="U57" s="404">
        <f t="shared" si="6"/>
        <v>0</v>
      </c>
      <c r="V57" s="395">
        <f t="shared" si="8"/>
        <v>3</v>
      </c>
      <c r="W57" s="395"/>
      <c r="X57" s="395">
        <f t="shared" si="9"/>
        <v>98222.44</v>
      </c>
      <c r="Y57" s="416">
        <f>+V57/E57*100</f>
        <v>50</v>
      </c>
      <c r="Z57" s="416"/>
      <c r="AA57" s="416">
        <f t="shared" si="10"/>
        <v>67.739613793103445</v>
      </c>
      <c r="AB57" s="627"/>
    </row>
    <row r="58" spans="1:28" ht="25.5" x14ac:dyDescent="0.25">
      <c r="A58" s="448"/>
      <c r="B58" s="465"/>
      <c r="C58" s="449" t="s">
        <v>368</v>
      </c>
      <c r="D58" s="445" t="s">
        <v>413</v>
      </c>
      <c r="E58" s="441">
        <v>0</v>
      </c>
      <c r="F58" s="450" t="str">
        <f>F56</f>
        <v>lomba</v>
      </c>
      <c r="G58" s="441">
        <v>450000</v>
      </c>
      <c r="H58" s="403">
        <v>5</v>
      </c>
      <c r="I58" s="403">
        <v>32350</v>
      </c>
      <c r="J58" s="404">
        <v>0</v>
      </c>
      <c r="K58" s="404"/>
      <c r="L58" s="441">
        <v>0</v>
      </c>
      <c r="M58" s="403">
        <v>0</v>
      </c>
      <c r="N58" s="403"/>
      <c r="O58" s="403">
        <v>0</v>
      </c>
      <c r="P58" s="403"/>
      <c r="Q58" s="403"/>
      <c r="R58" s="403"/>
      <c r="S58" s="404">
        <f t="shared" si="7"/>
        <v>0</v>
      </c>
      <c r="T58" s="404"/>
      <c r="U58" s="404">
        <f t="shared" si="6"/>
        <v>0</v>
      </c>
      <c r="V58" s="395">
        <f t="shared" si="8"/>
        <v>5</v>
      </c>
      <c r="W58" s="395"/>
      <c r="X58" s="395">
        <f t="shared" si="9"/>
        <v>32350</v>
      </c>
      <c r="Y58" s="416">
        <v>0</v>
      </c>
      <c r="Z58" s="416"/>
      <c r="AA58" s="416">
        <f t="shared" si="10"/>
        <v>7.1888888888888891</v>
      </c>
      <c r="AB58" s="627"/>
    </row>
    <row r="59" spans="1:28" x14ac:dyDescent="0.25">
      <c r="A59" s="452"/>
      <c r="B59" s="466"/>
      <c r="C59" s="449" t="s">
        <v>369</v>
      </c>
      <c r="D59" s="453" t="s">
        <v>414</v>
      </c>
      <c r="E59" s="441">
        <v>0</v>
      </c>
      <c r="F59" s="450" t="str">
        <f>F58</f>
        <v>lomba</v>
      </c>
      <c r="G59" s="441">
        <v>70000</v>
      </c>
      <c r="H59" s="441">
        <v>1</v>
      </c>
      <c r="I59" s="441">
        <v>69155</v>
      </c>
      <c r="J59" s="441">
        <v>0</v>
      </c>
      <c r="K59" s="441"/>
      <c r="L59" s="441">
        <v>0</v>
      </c>
      <c r="M59" s="441">
        <v>0</v>
      </c>
      <c r="N59" s="441"/>
      <c r="O59" s="441">
        <v>0</v>
      </c>
      <c r="P59" s="403"/>
      <c r="Q59" s="403"/>
      <c r="R59" s="403"/>
      <c r="S59" s="404">
        <v>0</v>
      </c>
      <c r="T59" s="404"/>
      <c r="U59" s="404">
        <f t="shared" si="6"/>
        <v>0</v>
      </c>
      <c r="V59" s="395">
        <f t="shared" si="8"/>
        <v>1</v>
      </c>
      <c r="W59" s="395"/>
      <c r="X59" s="395">
        <f t="shared" si="9"/>
        <v>69155</v>
      </c>
      <c r="Y59" s="416">
        <v>0</v>
      </c>
      <c r="Z59" s="416"/>
      <c r="AA59" s="416">
        <f t="shared" si="10"/>
        <v>98.792857142857144</v>
      </c>
      <c r="AB59" s="454" t="s">
        <v>338</v>
      </c>
    </row>
    <row r="60" spans="1:28" x14ac:dyDescent="0.25">
      <c r="A60" s="694" t="s">
        <v>45</v>
      </c>
      <c r="B60" s="695"/>
      <c r="C60" s="695"/>
      <c r="D60" s="695"/>
      <c r="E60" s="695"/>
      <c r="F60" s="695"/>
      <c r="G60" s="695"/>
      <c r="H60" s="695"/>
      <c r="I60" s="695"/>
      <c r="J60" s="695"/>
      <c r="K60" s="695"/>
      <c r="L60" s="696"/>
      <c r="M60" s="407">
        <f>M53</f>
        <v>100</v>
      </c>
      <c r="N60" s="407"/>
      <c r="O60" s="407">
        <f>O53/L53*100</f>
        <v>4.003925417075564</v>
      </c>
      <c r="P60" s="407"/>
      <c r="Q60" s="407"/>
      <c r="R60" s="407"/>
      <c r="S60" s="407">
        <f>M60</f>
        <v>100</v>
      </c>
      <c r="T60" s="407"/>
      <c r="U60" s="407">
        <f t="shared" si="6"/>
        <v>4.003925417075564</v>
      </c>
      <c r="V60" s="392"/>
      <c r="W60" s="392"/>
      <c r="X60" s="392"/>
      <c r="Y60" s="392">
        <f>SUM(Y54:Y59)/6</f>
        <v>36.111111111111114</v>
      </c>
      <c r="Z60" s="392"/>
      <c r="AA60" s="392">
        <f>SUM(AA54:AA59)/6</f>
        <v>41.990282976410946</v>
      </c>
      <c r="AB60" s="418"/>
    </row>
    <row r="61" spans="1:28" x14ac:dyDescent="0.25">
      <c r="A61" s="723" t="s">
        <v>46</v>
      </c>
      <c r="B61" s="724"/>
      <c r="C61" s="724"/>
      <c r="D61" s="724"/>
      <c r="E61" s="724"/>
      <c r="F61" s="724"/>
      <c r="G61" s="724"/>
      <c r="H61" s="724"/>
      <c r="I61" s="724"/>
      <c r="J61" s="724"/>
      <c r="K61" s="724"/>
      <c r="L61" s="725"/>
      <c r="M61" s="375" t="s">
        <v>51</v>
      </c>
      <c r="N61" s="375"/>
      <c r="O61" s="375" t="s">
        <v>51</v>
      </c>
      <c r="P61" s="375"/>
      <c r="Q61" s="375"/>
      <c r="R61" s="375"/>
      <c r="S61" s="375" t="s">
        <v>51</v>
      </c>
      <c r="T61" s="375"/>
      <c r="U61" s="375" t="s">
        <v>51</v>
      </c>
      <c r="V61" s="375"/>
      <c r="W61" s="375"/>
      <c r="X61" s="373"/>
      <c r="Y61" s="373"/>
      <c r="Z61" s="373"/>
      <c r="AA61" s="373"/>
      <c r="AB61" s="418"/>
    </row>
    <row r="62" spans="1:28" ht="17.25" x14ac:dyDescent="0.4">
      <c r="A62" s="726" t="s">
        <v>57</v>
      </c>
      <c r="B62" s="727"/>
      <c r="C62" s="727"/>
      <c r="D62" s="727"/>
      <c r="E62" s="727"/>
      <c r="F62" s="727"/>
      <c r="G62" s="727"/>
      <c r="H62" s="727"/>
      <c r="I62" s="727"/>
      <c r="J62" s="727"/>
      <c r="K62" s="630"/>
      <c r="L62" s="405">
        <f>L53+L46+L41+L28+L11</f>
        <v>880919.90000000014</v>
      </c>
      <c r="M62" s="455"/>
      <c r="N62" s="455"/>
      <c r="O62" s="632">
        <f>O53+O46+O41+O28+O11</f>
        <v>678810.5</v>
      </c>
      <c r="P62" s="632"/>
      <c r="Q62" s="632"/>
      <c r="R62" s="632"/>
      <c r="S62" s="455"/>
      <c r="T62" s="455"/>
      <c r="U62" s="405">
        <f>U53+U46+U40+U36+U32+U28+U11</f>
        <v>671810.5</v>
      </c>
      <c r="V62" s="456"/>
      <c r="W62" s="456"/>
      <c r="X62" s="456"/>
      <c r="Y62" s="457"/>
      <c r="Z62" s="457"/>
      <c r="AA62" s="457"/>
      <c r="AB62" s="626"/>
    </row>
    <row r="63" spans="1:28" x14ac:dyDescent="0.25">
      <c r="A63" s="726" t="s">
        <v>370</v>
      </c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8"/>
      <c r="M63" s="372">
        <f>(M60+M51+M44+M38+M34+M30+M26)/7</f>
        <v>57.142857142857146</v>
      </c>
      <c r="N63" s="372"/>
      <c r="O63" s="372" t="e">
        <f>(O60+O51+O44+O38+O34+O30+O26)/7</f>
        <v>#DIV/0!</v>
      </c>
      <c r="P63" s="372"/>
      <c r="Q63" s="372"/>
      <c r="R63" s="372"/>
      <c r="S63" s="372">
        <f>M63</f>
        <v>57.142857142857146</v>
      </c>
      <c r="T63" s="372"/>
      <c r="U63" s="372">
        <f>U62/L62*100</f>
        <v>76.262382084909191</v>
      </c>
      <c r="V63" s="373"/>
      <c r="W63" s="373"/>
      <c r="X63" s="373"/>
      <c r="Y63" s="372">
        <f>(Y60+Y55+Y49+Y45+Y35+Y31+Y26+Y39)/10</f>
        <v>72.883061383061374</v>
      </c>
      <c r="Z63" s="372"/>
      <c r="AA63" s="372">
        <f>(AA60+AA55+AA49+AA45+AA35+AA31+AA26+AA39)/10</f>
        <v>10.276189903939946</v>
      </c>
      <c r="AB63" s="374"/>
    </row>
    <row r="64" spans="1:28" ht="15.75" thickBot="1" x14ac:dyDescent="0.3">
      <c r="A64" s="720" t="s">
        <v>371</v>
      </c>
      <c r="B64" s="721"/>
      <c r="C64" s="721"/>
      <c r="D64" s="721"/>
      <c r="E64" s="721"/>
      <c r="F64" s="721"/>
      <c r="G64" s="721"/>
      <c r="H64" s="721"/>
      <c r="I64" s="721"/>
      <c r="J64" s="721"/>
      <c r="K64" s="721"/>
      <c r="L64" s="722"/>
      <c r="M64" s="386" t="s">
        <v>51</v>
      </c>
      <c r="N64" s="386"/>
      <c r="O64" s="386" t="s">
        <v>56</v>
      </c>
      <c r="P64" s="386"/>
      <c r="Q64" s="386"/>
      <c r="R64" s="386"/>
      <c r="S64" s="386" t="s">
        <v>51</v>
      </c>
      <c r="T64" s="386"/>
      <c r="U64" s="386" t="s">
        <v>51</v>
      </c>
      <c r="V64" s="387"/>
      <c r="W64" s="387"/>
      <c r="X64" s="387"/>
      <c r="Y64" s="387"/>
      <c r="Z64" s="387"/>
      <c r="AA64" s="387"/>
      <c r="AB64" s="388"/>
    </row>
    <row r="65" spans="1:47" s="1" customFormat="1" x14ac:dyDescent="0.25">
      <c r="A65" s="624" t="s">
        <v>385</v>
      </c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8"/>
      <c r="V65" s="329"/>
      <c r="W65" s="329"/>
      <c r="X65" s="330"/>
      <c r="Y65" s="329"/>
      <c r="Z65" s="329"/>
      <c r="AA65" s="331"/>
      <c r="AB65" s="329"/>
      <c r="AC65" s="329"/>
      <c r="AD65" s="329"/>
      <c r="AE65" s="329"/>
      <c r="AF65" s="329"/>
      <c r="AG65" s="332"/>
      <c r="AH65" s="333"/>
      <c r="AI65" s="334"/>
      <c r="AJ65" s="335">
        <v>7107003.8200000003</v>
      </c>
      <c r="AK65" s="335"/>
      <c r="AL65" s="335"/>
      <c r="AM65" s="335"/>
      <c r="AN65" s="335"/>
      <c r="AO65" s="335"/>
      <c r="AP65" s="335"/>
      <c r="AQ65" s="336"/>
      <c r="AR65" s="336"/>
      <c r="AS65" s="337"/>
      <c r="AT65" s="337"/>
      <c r="AU65" s="338"/>
    </row>
    <row r="66" spans="1:47" s="1" customFormat="1" ht="12.75" x14ac:dyDescent="0.25">
      <c r="A66" s="718" t="s">
        <v>383</v>
      </c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678"/>
      <c r="Q66" s="678"/>
      <c r="R66" s="678"/>
      <c r="S66" s="327"/>
      <c r="T66" s="327"/>
      <c r="U66" s="339" t="e">
        <f>(U59+U38+U74)/11</f>
        <v>#DIV/0!</v>
      </c>
      <c r="V66" s="339">
        <f>(V59+V38)/11</f>
        <v>9.0909090909090912E-2</v>
      </c>
      <c r="W66" s="339"/>
      <c r="X66" s="340">
        <f>(X59+X38)/11</f>
        <v>6286.818181818182</v>
      </c>
      <c r="Y66" s="339">
        <f>(Y59+Y38)/11</f>
        <v>24.242424242424239</v>
      </c>
      <c r="Z66" s="339"/>
      <c r="AA66" s="341">
        <f>(AA59+AA38)/11</f>
        <v>13.083716354768988</v>
      </c>
      <c r="AB66" s="489"/>
      <c r="AC66" s="339"/>
      <c r="AD66" s="339"/>
      <c r="AE66" s="339"/>
      <c r="AF66" s="339"/>
      <c r="AG66" s="339">
        <f>(AG59+AG38)/11</f>
        <v>0</v>
      </c>
      <c r="AH66" s="340" t="e">
        <f>(#REF!+#REF!+AH59+AH38+#REF!+#REF!+#REF!+#REF!+#REF!+#REF!+#REF!)/11</f>
        <v>#REF!</v>
      </c>
      <c r="AI66" s="341" t="e">
        <f>(#REF!+#REF!+AI59+AI38+#REF!+#REF!+#REF!+#REF!+#REF!+#REF!+#REF!)/11</f>
        <v>#REF!</v>
      </c>
      <c r="AJ66" s="339" t="e">
        <f>AJ65/S69*100</f>
        <v>#DIV/0!</v>
      </c>
      <c r="AK66" s="339"/>
      <c r="AL66" s="339"/>
      <c r="AM66" s="339"/>
      <c r="AN66" s="339"/>
      <c r="AO66" s="339"/>
      <c r="AP66" s="339"/>
      <c r="AQ66" s="68"/>
      <c r="AR66" s="68"/>
      <c r="AS66" s="342" t="e">
        <f>(#REF!+#REF!+AS59+AS38+#REF!+#REF!+#REF!+#REF!+#REF!+#REF!+#REF!)/11</f>
        <v>#REF!</v>
      </c>
      <c r="AT66" s="342" t="e">
        <f>(#REF!+#REF!+AT59+AT38+#REF!+#REF!+#REF!+#REF!+#REF!+#REF!+#REF!)/11</f>
        <v>#REF!</v>
      </c>
      <c r="AU66" s="70"/>
    </row>
    <row r="67" spans="1:47" s="1" customFormat="1" ht="12.75" x14ac:dyDescent="0.25">
      <c r="A67" s="624" t="s">
        <v>386</v>
      </c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670"/>
      <c r="U67" s="343"/>
      <c r="V67" s="343"/>
      <c r="W67" s="343"/>
      <c r="X67" s="344"/>
      <c r="Y67" s="343"/>
      <c r="Z67" s="343"/>
      <c r="AA67" s="345"/>
      <c r="AB67" s="343"/>
      <c r="AC67" s="343"/>
      <c r="AD67" s="343"/>
      <c r="AE67" s="343"/>
      <c r="AF67" s="343"/>
      <c r="AG67" s="343"/>
      <c r="AH67" s="344"/>
      <c r="AI67" s="345"/>
      <c r="AJ67" s="343"/>
      <c r="AK67" s="343"/>
      <c r="AL67" s="343"/>
      <c r="AM67" s="343"/>
      <c r="AN67" s="343"/>
      <c r="AO67" s="343"/>
      <c r="AP67" s="343"/>
      <c r="AQ67" s="346"/>
      <c r="AR67" s="346"/>
      <c r="AS67" s="347"/>
      <c r="AT67" s="347"/>
      <c r="AU67" s="348"/>
    </row>
    <row r="68" spans="1:47" s="1" customFormat="1" ht="13.5" thickBot="1" x14ac:dyDescent="0.3">
      <c r="A68" s="624" t="s">
        <v>384</v>
      </c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670"/>
      <c r="U68" s="349" t="s">
        <v>51</v>
      </c>
      <c r="V68" s="349" t="s">
        <v>51</v>
      </c>
      <c r="W68" s="349"/>
      <c r="X68" s="350" t="s">
        <v>47</v>
      </c>
      <c r="Y68" s="349" t="s">
        <v>56</v>
      </c>
      <c r="Z68" s="349"/>
      <c r="AA68" s="351"/>
      <c r="AB68" s="349"/>
      <c r="AC68" s="349"/>
      <c r="AD68" s="349"/>
      <c r="AE68" s="349"/>
      <c r="AF68" s="349"/>
      <c r="AG68" s="349"/>
      <c r="AH68" s="352"/>
      <c r="AI68" s="351" t="s">
        <v>47</v>
      </c>
      <c r="AJ68" s="349" t="s">
        <v>51</v>
      </c>
      <c r="AK68" s="349"/>
      <c r="AL68" s="349"/>
      <c r="AM68" s="349"/>
      <c r="AN68" s="349"/>
      <c r="AO68" s="349"/>
      <c r="AP68" s="349"/>
      <c r="AQ68" s="353"/>
      <c r="AR68" s="353"/>
      <c r="AS68" s="353"/>
      <c r="AT68" s="353"/>
      <c r="AU68" s="354"/>
    </row>
    <row r="70" spans="1:47" x14ac:dyDescent="0.25">
      <c r="X70" s="826" t="s">
        <v>564</v>
      </c>
      <c r="Y70" s="826"/>
      <c r="Z70" s="826"/>
      <c r="AA70" s="826"/>
      <c r="AB70" s="826"/>
      <c r="AD70" t="s">
        <v>430</v>
      </c>
    </row>
    <row r="72" spans="1:47" x14ac:dyDescent="0.25">
      <c r="X72" s="692" t="s">
        <v>546</v>
      </c>
      <c r="Y72" s="692"/>
      <c r="Z72" s="692"/>
      <c r="AA72" s="692"/>
      <c r="AB72" s="692"/>
    </row>
    <row r="76" spans="1:47" x14ac:dyDescent="0.25">
      <c r="X76" s="693" t="s">
        <v>547</v>
      </c>
      <c r="Y76" s="693"/>
      <c r="Z76" s="693"/>
      <c r="AA76" s="693"/>
      <c r="AB76" s="693"/>
    </row>
    <row r="77" spans="1:47" x14ac:dyDescent="0.25">
      <c r="X77" s="692" t="s">
        <v>548</v>
      </c>
      <c r="Y77" s="692"/>
      <c r="Z77" s="692"/>
      <c r="AA77" s="692"/>
      <c r="AB77" s="692"/>
    </row>
  </sheetData>
  <mergeCells count="50">
    <mergeCell ref="A2:AB2"/>
    <mergeCell ref="A3:AB3"/>
    <mergeCell ref="A4:AB4"/>
    <mergeCell ref="A6:A8"/>
    <mergeCell ref="B6:B8"/>
    <mergeCell ref="C6:C8"/>
    <mergeCell ref="D6:D8"/>
    <mergeCell ref="E6:G7"/>
    <mergeCell ref="H6:I7"/>
    <mergeCell ref="J6:L7"/>
    <mergeCell ref="P6:R6"/>
    <mergeCell ref="P7:R7"/>
    <mergeCell ref="C26:L26"/>
    <mergeCell ref="M6:O6"/>
    <mergeCell ref="S6:U7"/>
    <mergeCell ref="V6:X7"/>
    <mergeCell ref="Y6:AA7"/>
    <mergeCell ref="M7:O7"/>
    <mergeCell ref="E8:F8"/>
    <mergeCell ref="A9:AB9"/>
    <mergeCell ref="A10:AB10"/>
    <mergeCell ref="B12:B13"/>
    <mergeCell ref="AB12:AB24"/>
    <mergeCell ref="AB6:AB8"/>
    <mergeCell ref="C27:L27"/>
    <mergeCell ref="AB29:AB31"/>
    <mergeCell ref="C30:L30"/>
    <mergeCell ref="C31:L31"/>
    <mergeCell ref="AB33:AB35"/>
    <mergeCell ref="C34:L34"/>
    <mergeCell ref="C35:L35"/>
    <mergeCell ref="A62:J62"/>
    <mergeCell ref="AB37:AB39"/>
    <mergeCell ref="C38:L38"/>
    <mergeCell ref="C39:L39"/>
    <mergeCell ref="AB42:AB43"/>
    <mergeCell ref="A44:L44"/>
    <mergeCell ref="A45:L45"/>
    <mergeCell ref="AB47:AB49"/>
    <mergeCell ref="C51:L51"/>
    <mergeCell ref="C52:L52"/>
    <mergeCell ref="A60:L60"/>
    <mergeCell ref="A61:L61"/>
    <mergeCell ref="X77:AB77"/>
    <mergeCell ref="A63:L63"/>
    <mergeCell ref="A64:L64"/>
    <mergeCell ref="A66:O66"/>
    <mergeCell ref="X70:AB70"/>
    <mergeCell ref="X72:AB72"/>
    <mergeCell ref="X76:AB76"/>
  </mergeCells>
  <pageMargins left="0.39370078740157483" right="0.39370078740157483" top="0.59055118110236227" bottom="0.59055118110236227" header="0.31496062992125984" footer="0.31496062992125984"/>
  <pageSetup paperSize="10000" scale="7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77"/>
  <sheetViews>
    <sheetView tabSelected="1" topLeftCell="J63" zoomScale="118" zoomScaleNormal="118" workbookViewId="0">
      <selection activeCell="A2" sqref="A2:AB77"/>
    </sheetView>
  </sheetViews>
  <sheetFormatPr defaultRowHeight="15" x14ac:dyDescent="0.25"/>
  <cols>
    <col min="1" max="1" width="4" customWidth="1"/>
    <col min="2" max="2" width="13.5703125" customWidth="1"/>
    <col min="3" max="3" width="25.42578125" customWidth="1"/>
    <col min="4" max="4" width="23.28515625" customWidth="1"/>
    <col min="5" max="5" width="6.42578125" customWidth="1"/>
    <col min="6" max="6" width="7.140625" customWidth="1"/>
    <col min="7" max="7" width="8.28515625" customWidth="1"/>
    <col min="8" max="8" width="6" customWidth="1"/>
    <col min="9" max="9" width="8" customWidth="1"/>
    <col min="10" max="11" width="6" customWidth="1"/>
    <col min="12" max="12" width="8.5703125" customWidth="1"/>
    <col min="13" max="13" width="7.140625" customWidth="1"/>
    <col min="14" max="14" width="9" customWidth="1"/>
    <col min="15" max="18" width="10.140625" customWidth="1"/>
    <col min="19" max="20" width="7.140625" customWidth="1"/>
    <col min="21" max="21" width="7.7109375" customWidth="1"/>
    <col min="22" max="23" width="7.140625" customWidth="1"/>
    <col min="24" max="24" width="7.5703125" customWidth="1"/>
    <col min="25" max="27" width="7.140625" customWidth="1"/>
    <col min="28" max="28" width="11.28515625" customWidth="1"/>
  </cols>
  <sheetData>
    <row r="2" spans="1:31" s="680" customFormat="1" x14ac:dyDescent="0.25">
      <c r="A2" s="830" t="s">
        <v>543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</row>
    <row r="3" spans="1:31" s="680" customFormat="1" x14ac:dyDescent="0.25">
      <c r="A3" s="830" t="s">
        <v>544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</row>
    <row r="4" spans="1:31" s="680" customFormat="1" x14ac:dyDescent="0.25">
      <c r="A4" s="830" t="s">
        <v>542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</row>
    <row r="5" spans="1:31" ht="15.75" thickBot="1" x14ac:dyDescent="0.3"/>
    <row r="6" spans="1:31" s="1" customFormat="1" ht="29.25" customHeight="1" x14ac:dyDescent="0.25">
      <c r="A6" s="740" t="s">
        <v>0</v>
      </c>
      <c r="B6" s="743" t="s">
        <v>27</v>
      </c>
      <c r="C6" s="743" t="s">
        <v>28</v>
      </c>
      <c r="D6" s="743" t="s">
        <v>29</v>
      </c>
      <c r="E6" s="711" t="s">
        <v>549</v>
      </c>
      <c r="F6" s="712"/>
      <c r="G6" s="713"/>
      <c r="H6" s="711" t="s">
        <v>550</v>
      </c>
      <c r="I6" s="713"/>
      <c r="J6" s="711" t="s">
        <v>545</v>
      </c>
      <c r="K6" s="712"/>
      <c r="L6" s="713"/>
      <c r="M6" s="737" t="s">
        <v>552</v>
      </c>
      <c r="N6" s="738"/>
      <c r="O6" s="739"/>
      <c r="P6" s="737" t="s">
        <v>552</v>
      </c>
      <c r="Q6" s="738"/>
      <c r="R6" s="739"/>
      <c r="S6" s="711" t="s">
        <v>553</v>
      </c>
      <c r="T6" s="712"/>
      <c r="U6" s="713"/>
      <c r="V6" s="711" t="s">
        <v>555</v>
      </c>
      <c r="W6" s="712"/>
      <c r="X6" s="713"/>
      <c r="Y6" s="697" t="s">
        <v>554</v>
      </c>
      <c r="Z6" s="827"/>
      <c r="AA6" s="698"/>
      <c r="AB6" s="701" t="s">
        <v>34</v>
      </c>
    </row>
    <row r="7" spans="1:31" s="1" customFormat="1" ht="32.450000000000003" customHeight="1" x14ac:dyDescent="0.25">
      <c r="A7" s="741"/>
      <c r="B7" s="744"/>
      <c r="C7" s="744"/>
      <c r="D7" s="744"/>
      <c r="E7" s="714"/>
      <c r="F7" s="715"/>
      <c r="G7" s="716"/>
      <c r="H7" s="714"/>
      <c r="I7" s="716"/>
      <c r="J7" s="714"/>
      <c r="K7" s="715"/>
      <c r="L7" s="716"/>
      <c r="M7" s="704" t="s">
        <v>35</v>
      </c>
      <c r="N7" s="829"/>
      <c r="O7" s="705"/>
      <c r="P7" s="704" t="s">
        <v>36</v>
      </c>
      <c r="Q7" s="829"/>
      <c r="R7" s="705"/>
      <c r="S7" s="714"/>
      <c r="T7" s="715"/>
      <c r="U7" s="716"/>
      <c r="V7" s="714"/>
      <c r="W7" s="715"/>
      <c r="X7" s="716"/>
      <c r="Y7" s="699"/>
      <c r="Z7" s="828"/>
      <c r="AA7" s="700"/>
      <c r="AB7" s="702"/>
    </row>
    <row r="8" spans="1:31" s="1" customFormat="1" ht="18.600000000000001" customHeight="1" thickBot="1" x14ac:dyDescent="0.3">
      <c r="A8" s="742"/>
      <c r="B8" s="745"/>
      <c r="C8" s="745"/>
      <c r="D8" s="745"/>
      <c r="E8" s="729" t="s">
        <v>39</v>
      </c>
      <c r="F8" s="730"/>
      <c r="G8" s="2" t="s">
        <v>40</v>
      </c>
      <c r="H8" s="2" t="s">
        <v>39</v>
      </c>
      <c r="I8" s="2" t="s">
        <v>40</v>
      </c>
      <c r="J8" s="2" t="s">
        <v>39</v>
      </c>
      <c r="K8" s="2"/>
      <c r="L8" s="3" t="s">
        <v>40</v>
      </c>
      <c r="M8" s="2" t="s">
        <v>39</v>
      </c>
      <c r="N8" s="2"/>
      <c r="O8" s="2" t="s">
        <v>40</v>
      </c>
      <c r="P8" s="2" t="s">
        <v>39</v>
      </c>
      <c r="Q8" s="2"/>
      <c r="R8" s="2" t="s">
        <v>40</v>
      </c>
      <c r="S8" s="2" t="s">
        <v>39</v>
      </c>
      <c r="T8" s="2"/>
      <c r="U8" s="2" t="s">
        <v>40</v>
      </c>
      <c r="V8" s="4" t="s">
        <v>39</v>
      </c>
      <c r="W8" s="4"/>
      <c r="X8" s="4" t="s">
        <v>40</v>
      </c>
      <c r="Y8" s="4" t="s">
        <v>39</v>
      </c>
      <c r="Z8" s="4"/>
      <c r="AA8" s="4" t="s">
        <v>41</v>
      </c>
      <c r="AB8" s="703"/>
    </row>
    <row r="9" spans="1:31" ht="20.25" x14ac:dyDescent="0.25">
      <c r="A9" s="731" t="s">
        <v>346</v>
      </c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2"/>
      <c r="AA9" s="732"/>
      <c r="AB9" s="733"/>
    </row>
    <row r="10" spans="1:31" ht="15.75" x14ac:dyDescent="0.25">
      <c r="A10" s="734" t="s">
        <v>347</v>
      </c>
      <c r="B10" s="735"/>
      <c r="C10" s="735"/>
      <c r="D10" s="735"/>
      <c r="E10" s="735"/>
      <c r="F10" s="735"/>
      <c r="G10" s="735"/>
      <c r="H10" s="735"/>
      <c r="I10" s="735"/>
      <c r="J10" s="735"/>
      <c r="K10" s="735"/>
      <c r="L10" s="735"/>
      <c r="M10" s="735"/>
      <c r="N10" s="735"/>
      <c r="O10" s="735"/>
      <c r="P10" s="735"/>
      <c r="Q10" s="735"/>
      <c r="R10" s="735"/>
      <c r="S10" s="735"/>
      <c r="T10" s="735"/>
      <c r="U10" s="735"/>
      <c r="V10" s="735"/>
      <c r="W10" s="735"/>
      <c r="X10" s="735"/>
      <c r="Y10" s="735"/>
      <c r="Z10" s="735"/>
      <c r="AA10" s="735"/>
      <c r="AB10" s="736"/>
    </row>
    <row r="11" spans="1:31" ht="63.75" x14ac:dyDescent="0.25">
      <c r="A11" s="408"/>
      <c r="B11" s="383" t="s">
        <v>382</v>
      </c>
      <c r="C11" s="409" t="s">
        <v>24</v>
      </c>
      <c r="D11" s="409" t="s">
        <v>5</v>
      </c>
      <c r="E11" s="410">
        <f>SUM(E12:E25)/SUM(E12:E25)*100</f>
        <v>100</v>
      </c>
      <c r="F11" s="401" t="s">
        <v>50</v>
      </c>
      <c r="G11" s="411">
        <f>SUM(G12:G25)</f>
        <v>5403272.9840000002</v>
      </c>
      <c r="H11" s="410">
        <f>SUM(H12:H25)/SUM(H12:H25)*100</f>
        <v>100</v>
      </c>
      <c r="I11" s="411">
        <f>SUM(I12:I25)</f>
        <v>2577823.6320000002</v>
      </c>
      <c r="J11" s="410">
        <f>SUM(J12:J25)/SUM(J12:J25)*100</f>
        <v>100</v>
      </c>
      <c r="K11" s="628" t="s">
        <v>50</v>
      </c>
      <c r="L11" s="460">
        <f>SUM(L12:L25)</f>
        <v>580508.45000000007</v>
      </c>
      <c r="M11" s="410">
        <f>SUM(M12:M25)/SUM(M12:M25)*100</f>
        <v>100</v>
      </c>
      <c r="N11" s="628" t="s">
        <v>50</v>
      </c>
      <c r="O11" s="411">
        <f>SUM(O12:O25)</f>
        <v>235992.96999999997</v>
      </c>
      <c r="P11" s="410">
        <f>SUM(P12:P25)/SUM(P12:P25)*100</f>
        <v>100</v>
      </c>
      <c r="Q11" s="628" t="s">
        <v>50</v>
      </c>
      <c r="R11" s="411">
        <f>SUM(R12:R25)</f>
        <v>334286.43</v>
      </c>
      <c r="S11" s="411">
        <f>SUM(S12:S25)/SUM(S12:S25)*100</f>
        <v>100</v>
      </c>
      <c r="T11" s="411" t="s">
        <v>50</v>
      </c>
      <c r="U11" s="460">
        <f>SUM(U12:U25)</f>
        <v>570279.4</v>
      </c>
      <c r="V11" s="412">
        <f>SUM(V12:V25)/SUM(V12:V25)*100</f>
        <v>100</v>
      </c>
      <c r="W11" s="412" t="s">
        <v>50</v>
      </c>
      <c r="X11" s="412">
        <f>SUM(X12:X25)</f>
        <v>3148103.0320000001</v>
      </c>
      <c r="Y11" s="401">
        <f>SUM(Y12:Y25)/SUM(Y12:Y25)*100</f>
        <v>100</v>
      </c>
      <c r="Z11" s="401" t="s">
        <v>50</v>
      </c>
      <c r="AA11" s="401">
        <f>SUM(AA12:AA25)</f>
        <v>682.77006674934853</v>
      </c>
      <c r="AB11" s="413"/>
    </row>
    <row r="12" spans="1:31" ht="38.25" customHeight="1" x14ac:dyDescent="0.25">
      <c r="A12" s="414"/>
      <c r="B12" s="710"/>
      <c r="C12" s="400" t="s">
        <v>42</v>
      </c>
      <c r="D12" s="394" t="s">
        <v>398</v>
      </c>
      <c r="E12" s="365">
        <f>12*3</f>
        <v>36</v>
      </c>
      <c r="F12" s="369" t="s">
        <v>337</v>
      </c>
      <c r="G12" s="365">
        <v>235700</v>
      </c>
      <c r="H12" s="370">
        <v>39</v>
      </c>
      <c r="I12" s="370">
        <v>51173.463000000003</v>
      </c>
      <c r="J12" s="370">
        <v>12</v>
      </c>
      <c r="K12" s="370" t="s">
        <v>422</v>
      </c>
      <c r="L12" s="365">
        <v>33600</v>
      </c>
      <c r="M12" s="365">
        <v>5</v>
      </c>
      <c r="N12" s="365" t="s">
        <v>422</v>
      </c>
      <c r="O12" s="365">
        <v>13255.37</v>
      </c>
      <c r="P12" s="365">
        <v>5</v>
      </c>
      <c r="Q12" s="365" t="s">
        <v>422</v>
      </c>
      <c r="R12" s="365">
        <f>27485.3-O12</f>
        <v>14229.929999999998</v>
      </c>
      <c r="S12" s="671">
        <f t="shared" ref="S12:S25" si="0">M12</f>
        <v>5</v>
      </c>
      <c r="T12" s="629" t="s">
        <v>422</v>
      </c>
      <c r="U12" s="459">
        <f>O12+R12</f>
        <v>27485.3</v>
      </c>
      <c r="V12" s="395">
        <f t="shared" ref="V12:V25" si="1">S12+H12</f>
        <v>44</v>
      </c>
      <c r="W12" s="629" t="s">
        <v>422</v>
      </c>
      <c r="X12" s="395">
        <f t="shared" ref="X12:X25" si="2">U12+I12</f>
        <v>78658.763000000006</v>
      </c>
      <c r="Y12" s="397">
        <f t="shared" ref="Y12:Y25" si="3">+V12/E12*100</f>
        <v>122.22222222222223</v>
      </c>
      <c r="Z12" s="629" t="s">
        <v>422</v>
      </c>
      <c r="AA12" s="397">
        <f t="shared" ref="AA12:AA25" si="4">+X12/G12*100</f>
        <v>33.372406873143831</v>
      </c>
      <c r="AB12" s="709" t="s">
        <v>348</v>
      </c>
      <c r="AC12" s="475"/>
    </row>
    <row r="13" spans="1:31" ht="25.5" x14ac:dyDescent="0.25">
      <c r="A13" s="414"/>
      <c r="B13" s="710"/>
      <c r="C13" s="400" t="s">
        <v>43</v>
      </c>
      <c r="D13" s="394" t="s">
        <v>399</v>
      </c>
      <c r="E13" s="365">
        <f>1*3</f>
        <v>3</v>
      </c>
      <c r="F13" s="369" t="s">
        <v>421</v>
      </c>
      <c r="G13" s="365">
        <v>1029050</v>
      </c>
      <c r="H13" s="370">
        <v>39</v>
      </c>
      <c r="I13" s="370">
        <v>573103</v>
      </c>
      <c r="J13" s="370">
        <v>1</v>
      </c>
      <c r="K13" s="370" t="s">
        <v>421</v>
      </c>
      <c r="L13" s="365">
        <v>169925</v>
      </c>
      <c r="M13" s="672">
        <v>0.5</v>
      </c>
      <c r="N13" s="365" t="s">
        <v>421</v>
      </c>
      <c r="O13" s="365">
        <v>84900</v>
      </c>
      <c r="P13" s="672">
        <v>0.5</v>
      </c>
      <c r="Q13" s="365" t="s">
        <v>421</v>
      </c>
      <c r="R13" s="365">
        <f>169925-O13</f>
        <v>85025</v>
      </c>
      <c r="S13" s="673">
        <f t="shared" si="0"/>
        <v>0.5</v>
      </c>
      <c r="T13" s="629" t="s">
        <v>421</v>
      </c>
      <c r="U13" s="459">
        <f>O13+R13</f>
        <v>169925</v>
      </c>
      <c r="V13" s="395">
        <f t="shared" si="1"/>
        <v>39.5</v>
      </c>
      <c r="W13" s="629" t="s">
        <v>421</v>
      </c>
      <c r="X13" s="395">
        <f t="shared" si="2"/>
        <v>743028</v>
      </c>
      <c r="Y13" s="397">
        <f t="shared" si="3"/>
        <v>1316.6666666666665</v>
      </c>
      <c r="Z13" s="629" t="s">
        <v>421</v>
      </c>
      <c r="AA13" s="397">
        <f t="shared" si="4"/>
        <v>72.205237840726895</v>
      </c>
      <c r="AB13" s="709"/>
      <c r="AE13">
        <f>4050000+2700000</f>
        <v>6750000</v>
      </c>
    </row>
    <row r="14" spans="1:31" x14ac:dyDescent="0.25">
      <c r="A14" s="414"/>
      <c r="B14" s="464"/>
      <c r="C14" s="399" t="s">
        <v>335</v>
      </c>
      <c r="D14" s="394" t="s">
        <v>393</v>
      </c>
      <c r="E14" s="365">
        <f>4*3</f>
        <v>12</v>
      </c>
      <c r="F14" s="369" t="s">
        <v>422</v>
      </c>
      <c r="G14" s="365">
        <v>150712</v>
      </c>
      <c r="H14" s="370">
        <v>39</v>
      </c>
      <c r="I14" s="370">
        <v>46313.8</v>
      </c>
      <c r="J14" s="370">
        <v>4</v>
      </c>
      <c r="K14" s="370" t="s">
        <v>422</v>
      </c>
      <c r="L14" s="365">
        <v>16085.2</v>
      </c>
      <c r="M14" s="365">
        <v>1</v>
      </c>
      <c r="N14" s="365" t="s">
        <v>337</v>
      </c>
      <c r="O14" s="365">
        <v>4161.5</v>
      </c>
      <c r="P14" s="365">
        <v>1</v>
      </c>
      <c r="Q14" s="365" t="s">
        <v>337</v>
      </c>
      <c r="R14" s="365">
        <f>16052.5-O14</f>
        <v>11891</v>
      </c>
      <c r="S14" s="671">
        <f t="shared" si="0"/>
        <v>1</v>
      </c>
      <c r="T14" s="629" t="s">
        <v>337</v>
      </c>
      <c r="U14" s="459">
        <f t="shared" ref="U14:U25" si="5">O14+R14</f>
        <v>16052.5</v>
      </c>
      <c r="V14" s="395">
        <f t="shared" si="1"/>
        <v>40</v>
      </c>
      <c r="W14" s="629" t="s">
        <v>337</v>
      </c>
      <c r="X14" s="395">
        <f t="shared" si="2"/>
        <v>62366.3</v>
      </c>
      <c r="Y14" s="397">
        <f t="shared" si="3"/>
        <v>333.33333333333337</v>
      </c>
      <c r="Z14" s="629" t="s">
        <v>337</v>
      </c>
      <c r="AA14" s="397">
        <f t="shared" si="4"/>
        <v>41.381110993152504</v>
      </c>
      <c r="AB14" s="709"/>
    </row>
    <row r="15" spans="1:31" ht="25.5" x14ac:dyDescent="0.25">
      <c r="A15" s="414"/>
      <c r="B15" s="464"/>
      <c r="C15" s="399" t="s">
        <v>349</v>
      </c>
      <c r="D15" s="394" t="s">
        <v>402</v>
      </c>
      <c r="E15" s="365">
        <f>30*3</f>
        <v>90</v>
      </c>
      <c r="F15" s="369" t="s">
        <v>423</v>
      </c>
      <c r="G15" s="365">
        <v>200000</v>
      </c>
      <c r="H15" s="370">
        <v>43</v>
      </c>
      <c r="I15" s="370">
        <v>61123</v>
      </c>
      <c r="J15" s="370">
        <v>30</v>
      </c>
      <c r="K15" s="370" t="s">
        <v>135</v>
      </c>
      <c r="L15" s="365">
        <v>26970</v>
      </c>
      <c r="M15" s="365">
        <v>15</v>
      </c>
      <c r="N15" s="365" t="s">
        <v>135</v>
      </c>
      <c r="O15" s="365">
        <v>9930</v>
      </c>
      <c r="P15" s="365">
        <v>15</v>
      </c>
      <c r="Q15" s="365" t="s">
        <v>135</v>
      </c>
      <c r="R15" s="365">
        <f>26885-O15</f>
        <v>16955</v>
      </c>
      <c r="S15" s="671">
        <f t="shared" si="0"/>
        <v>15</v>
      </c>
      <c r="T15" s="629" t="s">
        <v>135</v>
      </c>
      <c r="U15" s="459">
        <f t="shared" si="5"/>
        <v>26885</v>
      </c>
      <c r="V15" s="395">
        <f t="shared" si="1"/>
        <v>58</v>
      </c>
      <c r="W15" s="629" t="s">
        <v>135</v>
      </c>
      <c r="X15" s="395">
        <f t="shared" si="2"/>
        <v>88008</v>
      </c>
      <c r="Y15" s="397">
        <f t="shared" si="3"/>
        <v>64.444444444444443</v>
      </c>
      <c r="Z15" s="629" t="s">
        <v>135</v>
      </c>
      <c r="AA15" s="397">
        <f t="shared" si="4"/>
        <v>44.003999999999998</v>
      </c>
      <c r="AB15" s="709"/>
    </row>
    <row r="16" spans="1:31" ht="23.25" customHeight="1" x14ac:dyDescent="0.25">
      <c r="A16" s="414"/>
      <c r="B16" s="463"/>
      <c r="C16" s="399" t="s">
        <v>341</v>
      </c>
      <c r="D16" s="394" t="s">
        <v>400</v>
      </c>
      <c r="E16" s="365">
        <f>1*3</f>
        <v>3</v>
      </c>
      <c r="F16" s="369" t="s">
        <v>424</v>
      </c>
      <c r="G16" s="365">
        <v>326664</v>
      </c>
      <c r="H16" s="370">
        <v>39</v>
      </c>
      <c r="I16" s="370">
        <v>177700.7</v>
      </c>
      <c r="J16" s="370">
        <v>1</v>
      </c>
      <c r="K16" s="370" t="s">
        <v>421</v>
      </c>
      <c r="L16" s="365">
        <v>42446.5</v>
      </c>
      <c r="M16" s="672">
        <v>0.5</v>
      </c>
      <c r="N16" s="365" t="s">
        <v>421</v>
      </c>
      <c r="O16" s="365">
        <v>17972.8</v>
      </c>
      <c r="P16" s="672">
        <v>0.5</v>
      </c>
      <c r="Q16" s="365" t="s">
        <v>421</v>
      </c>
      <c r="R16" s="365">
        <f>41688.7-O16</f>
        <v>23715.899999999998</v>
      </c>
      <c r="S16" s="673">
        <f t="shared" si="0"/>
        <v>0.5</v>
      </c>
      <c r="T16" s="629" t="s">
        <v>421</v>
      </c>
      <c r="U16" s="459">
        <f t="shared" si="5"/>
        <v>41688.699999999997</v>
      </c>
      <c r="V16" s="395">
        <f t="shared" si="1"/>
        <v>39.5</v>
      </c>
      <c r="W16" s="629" t="s">
        <v>421</v>
      </c>
      <c r="X16" s="395">
        <f t="shared" si="2"/>
        <v>219389.40000000002</v>
      </c>
      <c r="Y16" s="397">
        <f t="shared" si="3"/>
        <v>1316.6666666666665</v>
      </c>
      <c r="Z16" s="629" t="s">
        <v>421</v>
      </c>
      <c r="AA16" s="397">
        <f t="shared" si="4"/>
        <v>67.160568657703337</v>
      </c>
      <c r="AB16" s="709"/>
    </row>
    <row r="17" spans="1:33" ht="25.5" x14ac:dyDescent="0.25">
      <c r="A17" s="414"/>
      <c r="B17" s="463"/>
      <c r="C17" s="400" t="s">
        <v>350</v>
      </c>
      <c r="D17" s="394" t="s">
        <v>401</v>
      </c>
      <c r="E17" s="365">
        <f>6*3</f>
        <v>18</v>
      </c>
      <c r="F17" s="369" t="s">
        <v>425</v>
      </c>
      <c r="G17" s="365">
        <v>382775</v>
      </c>
      <c r="H17" s="370">
        <v>39</v>
      </c>
      <c r="I17" s="370">
        <v>210033</v>
      </c>
      <c r="J17" s="370">
        <v>6</v>
      </c>
      <c r="K17" s="370" t="s">
        <v>556</v>
      </c>
      <c r="L17" s="365">
        <v>30350</v>
      </c>
      <c r="M17" s="365">
        <v>3</v>
      </c>
      <c r="N17" s="365" t="s">
        <v>556</v>
      </c>
      <c r="O17" s="365">
        <v>12337.5</v>
      </c>
      <c r="P17" s="365">
        <v>3</v>
      </c>
      <c r="Q17" s="365" t="s">
        <v>556</v>
      </c>
      <c r="R17" s="365">
        <f>29237.5-O17</f>
        <v>16900</v>
      </c>
      <c r="S17" s="671">
        <f t="shared" si="0"/>
        <v>3</v>
      </c>
      <c r="T17" s="629" t="s">
        <v>556</v>
      </c>
      <c r="U17" s="459">
        <f t="shared" si="5"/>
        <v>29237.5</v>
      </c>
      <c r="V17" s="395">
        <f t="shared" si="1"/>
        <v>42</v>
      </c>
      <c r="W17" s="629" t="s">
        <v>556</v>
      </c>
      <c r="X17" s="395">
        <f t="shared" si="2"/>
        <v>239270.5</v>
      </c>
      <c r="Y17" s="397">
        <f t="shared" si="3"/>
        <v>233.33333333333334</v>
      </c>
      <c r="Z17" s="629" t="s">
        <v>556</v>
      </c>
      <c r="AA17" s="397">
        <f t="shared" si="4"/>
        <v>62.509437659199271</v>
      </c>
      <c r="AB17" s="709"/>
    </row>
    <row r="18" spans="1:33" ht="31.5" customHeight="1" x14ac:dyDescent="0.25">
      <c r="A18" s="414"/>
      <c r="B18" s="463"/>
      <c r="C18" s="400" t="s">
        <v>351</v>
      </c>
      <c r="D18" s="394" t="s">
        <v>403</v>
      </c>
      <c r="E18" s="365">
        <f>36*3</f>
        <v>108</v>
      </c>
      <c r="F18" s="369" t="s">
        <v>426</v>
      </c>
      <c r="G18" s="365">
        <v>88200</v>
      </c>
      <c r="H18" s="370">
        <v>39</v>
      </c>
      <c r="I18" s="370">
        <v>12924.2</v>
      </c>
      <c r="J18" s="370">
        <v>36</v>
      </c>
      <c r="K18" s="370" t="s">
        <v>557</v>
      </c>
      <c r="L18" s="365">
        <v>10866</v>
      </c>
      <c r="M18" s="365">
        <v>18</v>
      </c>
      <c r="N18" s="365" t="s">
        <v>557</v>
      </c>
      <c r="O18" s="365">
        <v>1610.1</v>
      </c>
      <c r="P18" s="365">
        <v>18</v>
      </c>
      <c r="Q18" s="369" t="s">
        <v>426</v>
      </c>
      <c r="R18" s="365">
        <f>10863.9-O18</f>
        <v>9253.7999999999993</v>
      </c>
      <c r="S18" s="671">
        <f t="shared" si="0"/>
        <v>18</v>
      </c>
      <c r="T18" s="629" t="s">
        <v>557</v>
      </c>
      <c r="U18" s="459">
        <f t="shared" si="5"/>
        <v>10863.9</v>
      </c>
      <c r="V18" s="395">
        <f t="shared" si="1"/>
        <v>57</v>
      </c>
      <c r="W18" s="629" t="s">
        <v>557</v>
      </c>
      <c r="X18" s="395">
        <f t="shared" si="2"/>
        <v>23788.1</v>
      </c>
      <c r="Y18" s="397">
        <f t="shared" si="3"/>
        <v>52.777777777777779</v>
      </c>
      <c r="Z18" s="629" t="s">
        <v>557</v>
      </c>
      <c r="AA18" s="397">
        <f t="shared" si="4"/>
        <v>26.970634920634918</v>
      </c>
      <c r="AB18" s="709"/>
    </row>
    <row r="19" spans="1:33" ht="25.5" x14ac:dyDescent="0.25">
      <c r="A19" s="414"/>
      <c r="B19" s="463"/>
      <c r="C19" s="400" t="s">
        <v>339</v>
      </c>
      <c r="D19" s="394" t="s">
        <v>404</v>
      </c>
      <c r="E19" s="365">
        <f>3*3</f>
        <v>9</v>
      </c>
      <c r="F19" s="369" t="s">
        <v>423</v>
      </c>
      <c r="G19" s="365">
        <v>410000</v>
      </c>
      <c r="H19" s="370">
        <v>39</v>
      </c>
      <c r="I19" s="370">
        <v>195900.522</v>
      </c>
      <c r="J19" s="370">
        <v>3</v>
      </c>
      <c r="K19" s="370" t="s">
        <v>135</v>
      </c>
      <c r="L19" s="365">
        <v>46372.45</v>
      </c>
      <c r="M19" s="365">
        <v>0</v>
      </c>
      <c r="N19" s="365"/>
      <c r="O19" s="365">
        <v>0</v>
      </c>
      <c r="P19" s="365">
        <v>9</v>
      </c>
      <c r="Q19" s="369" t="s">
        <v>423</v>
      </c>
      <c r="R19" s="365">
        <f>45450-O19</f>
        <v>45450</v>
      </c>
      <c r="S19" s="365">
        <f t="shared" si="0"/>
        <v>0</v>
      </c>
      <c r="T19" s="629"/>
      <c r="U19" s="459">
        <f t="shared" si="5"/>
        <v>45450</v>
      </c>
      <c r="V19" s="395">
        <f t="shared" si="1"/>
        <v>39</v>
      </c>
      <c r="W19" s="629"/>
      <c r="X19" s="395">
        <f t="shared" si="2"/>
        <v>241350.522</v>
      </c>
      <c r="Y19" s="397">
        <f t="shared" si="3"/>
        <v>433.33333333333331</v>
      </c>
      <c r="Z19" s="629"/>
      <c r="AA19" s="397">
        <f t="shared" si="4"/>
        <v>58.865980975609759</v>
      </c>
      <c r="AB19" s="709"/>
    </row>
    <row r="20" spans="1:33" ht="25.5" x14ac:dyDescent="0.25">
      <c r="A20" s="414"/>
      <c r="B20" s="463"/>
      <c r="C20" s="400" t="s">
        <v>344</v>
      </c>
      <c r="D20" s="394" t="s">
        <v>405</v>
      </c>
      <c r="E20" s="365">
        <f>12*3</f>
        <v>36</v>
      </c>
      <c r="F20" s="369" t="s">
        <v>422</v>
      </c>
      <c r="G20" s="365">
        <v>110000</v>
      </c>
      <c r="H20" s="370">
        <v>39</v>
      </c>
      <c r="I20" s="370">
        <v>24950</v>
      </c>
      <c r="J20" s="370">
        <v>12</v>
      </c>
      <c r="K20" s="370" t="s">
        <v>337</v>
      </c>
      <c r="L20" s="365">
        <v>5000</v>
      </c>
      <c r="M20" s="365">
        <v>6</v>
      </c>
      <c r="N20" s="365" t="s">
        <v>337</v>
      </c>
      <c r="O20" s="365">
        <v>1550</v>
      </c>
      <c r="P20" s="365">
        <v>6</v>
      </c>
      <c r="Q20" s="365" t="s">
        <v>337</v>
      </c>
      <c r="R20" s="365">
        <f>4200-O20</f>
        <v>2650</v>
      </c>
      <c r="S20" s="365">
        <f t="shared" si="0"/>
        <v>6</v>
      </c>
      <c r="T20" s="629" t="s">
        <v>337</v>
      </c>
      <c r="U20" s="459">
        <f t="shared" si="5"/>
        <v>4200</v>
      </c>
      <c r="V20" s="395">
        <f t="shared" si="1"/>
        <v>45</v>
      </c>
      <c r="W20" s="629" t="s">
        <v>337</v>
      </c>
      <c r="X20" s="395">
        <f t="shared" si="2"/>
        <v>29150</v>
      </c>
      <c r="Y20" s="397">
        <f t="shared" si="3"/>
        <v>125</v>
      </c>
      <c r="Z20" s="629" t="s">
        <v>337</v>
      </c>
      <c r="AA20" s="397">
        <f t="shared" si="4"/>
        <v>26.5</v>
      </c>
      <c r="AB20" s="709"/>
    </row>
    <row r="21" spans="1:33" ht="25.5" x14ac:dyDescent="0.25">
      <c r="A21" s="414"/>
      <c r="B21" s="463"/>
      <c r="C21" s="400" t="s">
        <v>352</v>
      </c>
      <c r="D21" s="394" t="s">
        <v>566</v>
      </c>
      <c r="E21" s="365">
        <f>1*3</f>
        <v>3</v>
      </c>
      <c r="F21" s="369" t="s">
        <v>424</v>
      </c>
      <c r="G21" s="365">
        <v>143000</v>
      </c>
      <c r="H21" s="370">
        <v>39</v>
      </c>
      <c r="I21" s="370">
        <v>89552.5</v>
      </c>
      <c r="J21" s="370">
        <v>1</v>
      </c>
      <c r="K21" s="370" t="s">
        <v>421</v>
      </c>
      <c r="L21" s="365">
        <v>30500</v>
      </c>
      <c r="M21" s="672">
        <v>0.5</v>
      </c>
      <c r="N21" s="365" t="s">
        <v>421</v>
      </c>
      <c r="O21" s="365">
        <v>8330</v>
      </c>
      <c r="P21" s="672">
        <v>0.5</v>
      </c>
      <c r="Q21" s="365" t="s">
        <v>421</v>
      </c>
      <c r="R21" s="365">
        <f>30345-O21</f>
        <v>22015</v>
      </c>
      <c r="S21" s="672">
        <f t="shared" si="0"/>
        <v>0.5</v>
      </c>
      <c r="T21" s="629" t="s">
        <v>421</v>
      </c>
      <c r="U21" s="459">
        <f t="shared" si="5"/>
        <v>30345</v>
      </c>
      <c r="V21" s="395">
        <f t="shared" si="1"/>
        <v>39.5</v>
      </c>
      <c r="W21" s="629" t="s">
        <v>421</v>
      </c>
      <c r="X21" s="395">
        <f t="shared" si="2"/>
        <v>119897.5</v>
      </c>
      <c r="Y21" s="397">
        <f t="shared" si="3"/>
        <v>1316.6666666666665</v>
      </c>
      <c r="Z21" s="629" t="s">
        <v>421</v>
      </c>
      <c r="AA21" s="397">
        <f t="shared" si="4"/>
        <v>83.844405594405586</v>
      </c>
      <c r="AB21" s="709"/>
    </row>
    <row r="22" spans="1:33" ht="25.5" x14ac:dyDescent="0.25">
      <c r="A22" s="414"/>
      <c r="B22" s="463"/>
      <c r="C22" s="400" t="s">
        <v>354</v>
      </c>
      <c r="D22" s="394" t="s">
        <v>406</v>
      </c>
      <c r="E22" s="365">
        <f>1*3</f>
        <v>3</v>
      </c>
      <c r="F22" s="369" t="s">
        <v>424</v>
      </c>
      <c r="G22" s="365">
        <v>1263571.9839999999</v>
      </c>
      <c r="H22" s="370">
        <v>39</v>
      </c>
      <c r="I22" s="370">
        <v>701914.44700000004</v>
      </c>
      <c r="J22" s="370">
        <v>1</v>
      </c>
      <c r="K22" s="370" t="s">
        <v>421</v>
      </c>
      <c r="L22" s="365">
        <v>36000</v>
      </c>
      <c r="M22" s="672">
        <v>0.5</v>
      </c>
      <c r="N22" s="365" t="s">
        <v>421</v>
      </c>
      <c r="O22" s="365">
        <v>25790.9</v>
      </c>
      <c r="P22" s="672">
        <v>0.5</v>
      </c>
      <c r="Q22" s="365" t="s">
        <v>421</v>
      </c>
      <c r="R22" s="365">
        <f>35818.9-O22</f>
        <v>10028</v>
      </c>
      <c r="S22" s="672">
        <f t="shared" si="0"/>
        <v>0.5</v>
      </c>
      <c r="T22" s="629" t="s">
        <v>421</v>
      </c>
      <c r="U22" s="459">
        <f t="shared" si="5"/>
        <v>35818.9</v>
      </c>
      <c r="V22" s="395">
        <f t="shared" si="1"/>
        <v>39.5</v>
      </c>
      <c r="W22" s="629" t="s">
        <v>421</v>
      </c>
      <c r="X22" s="395">
        <f t="shared" si="2"/>
        <v>737733.34700000007</v>
      </c>
      <c r="Y22" s="397">
        <f t="shared" si="3"/>
        <v>1316.6666666666665</v>
      </c>
      <c r="Z22" s="629" t="s">
        <v>421</v>
      </c>
      <c r="AA22" s="397">
        <f t="shared" si="4"/>
        <v>58.384750243085485</v>
      </c>
      <c r="AB22" s="709"/>
    </row>
    <row r="23" spans="1:33" x14ac:dyDescent="0.25">
      <c r="A23" s="414"/>
      <c r="B23" s="463"/>
      <c r="C23" s="400" t="s">
        <v>355</v>
      </c>
      <c r="D23" s="394" t="s">
        <v>407</v>
      </c>
      <c r="E23" s="365">
        <f>11*3</f>
        <v>33</v>
      </c>
      <c r="F23" s="369" t="s">
        <v>422</v>
      </c>
      <c r="G23" s="365">
        <v>561600</v>
      </c>
      <c r="H23" s="370">
        <v>201</v>
      </c>
      <c r="I23" s="370">
        <v>219440</v>
      </c>
      <c r="J23" s="370">
        <v>11</v>
      </c>
      <c r="K23" s="370" t="s">
        <v>337</v>
      </c>
      <c r="L23" s="365">
        <v>93650</v>
      </c>
      <c r="M23" s="365">
        <v>5</v>
      </c>
      <c r="N23" s="365" t="s">
        <v>337</v>
      </c>
      <c r="O23" s="365">
        <v>42000</v>
      </c>
      <c r="P23" s="365">
        <v>6</v>
      </c>
      <c r="Q23" s="365" t="s">
        <v>337</v>
      </c>
      <c r="R23" s="365">
        <f>93650-O23</f>
        <v>51650</v>
      </c>
      <c r="S23" s="365">
        <f t="shared" si="0"/>
        <v>5</v>
      </c>
      <c r="T23" s="629" t="s">
        <v>337</v>
      </c>
      <c r="U23" s="459">
        <f t="shared" si="5"/>
        <v>93650</v>
      </c>
      <c r="V23" s="395">
        <f t="shared" si="1"/>
        <v>206</v>
      </c>
      <c r="W23" s="629" t="s">
        <v>337</v>
      </c>
      <c r="X23" s="395">
        <f t="shared" si="2"/>
        <v>313090</v>
      </c>
      <c r="Y23" s="397">
        <f t="shared" si="3"/>
        <v>624.24242424242425</v>
      </c>
      <c r="Z23" s="629" t="s">
        <v>337</v>
      </c>
      <c r="AA23" s="397">
        <f t="shared" si="4"/>
        <v>55.749643874643873</v>
      </c>
      <c r="AB23" s="709"/>
      <c r="AG23">
        <f>4050000+2700000</f>
        <v>6750000</v>
      </c>
    </row>
    <row r="24" spans="1:33" ht="25.5" x14ac:dyDescent="0.25">
      <c r="A24" s="414"/>
      <c r="B24" s="463"/>
      <c r="C24" s="400" t="s">
        <v>44</v>
      </c>
      <c r="D24" s="394" t="s">
        <v>408</v>
      </c>
      <c r="E24" s="365">
        <f>1*3</f>
        <v>3</v>
      </c>
      <c r="F24" s="369" t="s">
        <v>424</v>
      </c>
      <c r="G24" s="365">
        <v>487000</v>
      </c>
      <c r="H24" s="370">
        <v>39</v>
      </c>
      <c r="I24" s="370">
        <v>213695</v>
      </c>
      <c r="J24" s="370">
        <v>1</v>
      </c>
      <c r="K24" s="370" t="s">
        <v>421</v>
      </c>
      <c r="L24" s="365">
        <v>38743.300000000003</v>
      </c>
      <c r="M24" s="672">
        <v>0.5</v>
      </c>
      <c r="N24" s="365" t="s">
        <v>421</v>
      </c>
      <c r="O24" s="365">
        <v>14154.8</v>
      </c>
      <c r="P24" s="672">
        <v>0.5</v>
      </c>
      <c r="Q24" s="365" t="s">
        <v>421</v>
      </c>
      <c r="R24" s="365">
        <f>38677.6-O24</f>
        <v>24522.799999999999</v>
      </c>
      <c r="S24" s="672">
        <f t="shared" si="0"/>
        <v>0.5</v>
      </c>
      <c r="T24" s="629" t="s">
        <v>421</v>
      </c>
      <c r="U24" s="459">
        <f t="shared" si="5"/>
        <v>38677.599999999999</v>
      </c>
      <c r="V24" s="395">
        <f t="shared" si="1"/>
        <v>39.5</v>
      </c>
      <c r="W24" s="629" t="s">
        <v>421</v>
      </c>
      <c r="X24" s="395">
        <f t="shared" si="2"/>
        <v>252372.6</v>
      </c>
      <c r="Y24" s="397">
        <f t="shared" si="3"/>
        <v>1316.6666666666665</v>
      </c>
      <c r="Z24" s="629" t="s">
        <v>421</v>
      </c>
      <c r="AA24" s="397">
        <f t="shared" si="4"/>
        <v>51.821889117043121</v>
      </c>
      <c r="AB24" s="709"/>
    </row>
    <row r="25" spans="1:33" x14ac:dyDescent="0.25">
      <c r="A25" s="414"/>
      <c r="B25" s="463"/>
      <c r="C25" s="400" t="s">
        <v>342</v>
      </c>
      <c r="D25" s="394" t="s">
        <v>409</v>
      </c>
      <c r="E25" s="365">
        <f>1*3</f>
        <v>3</v>
      </c>
      <c r="F25" s="369" t="s">
        <v>337</v>
      </c>
      <c r="G25" s="365">
        <v>15000</v>
      </c>
      <c r="H25" s="365">
        <v>0</v>
      </c>
      <c r="I25" s="365">
        <v>0</v>
      </c>
      <c r="J25" s="365">
        <v>1</v>
      </c>
      <c r="K25" s="365" t="s">
        <v>337</v>
      </c>
      <c r="L25" s="365">
        <v>0</v>
      </c>
      <c r="M25" s="365">
        <v>0</v>
      </c>
      <c r="N25" s="365"/>
      <c r="O25" s="365">
        <v>0</v>
      </c>
      <c r="P25" s="365">
        <v>0</v>
      </c>
      <c r="Q25" s="365"/>
      <c r="R25" s="365">
        <f>0-O25</f>
        <v>0</v>
      </c>
      <c r="S25" s="365">
        <f t="shared" si="0"/>
        <v>0</v>
      </c>
      <c r="T25" s="369"/>
      <c r="U25" s="459">
        <f t="shared" si="5"/>
        <v>0</v>
      </c>
      <c r="V25" s="395">
        <f t="shared" si="1"/>
        <v>0</v>
      </c>
      <c r="W25" s="369"/>
      <c r="X25" s="395">
        <f t="shared" si="2"/>
        <v>0</v>
      </c>
      <c r="Y25" s="397">
        <f t="shared" si="3"/>
        <v>0</v>
      </c>
      <c r="Z25" s="369"/>
      <c r="AA25" s="397">
        <f t="shared" si="4"/>
        <v>0</v>
      </c>
      <c r="AB25" s="679"/>
    </row>
    <row r="26" spans="1:33" x14ac:dyDescent="0.25">
      <c r="A26" s="414"/>
      <c r="B26" s="463"/>
      <c r="C26" s="723" t="s">
        <v>45</v>
      </c>
      <c r="D26" s="724"/>
      <c r="E26" s="724"/>
      <c r="F26" s="724"/>
      <c r="G26" s="724"/>
      <c r="H26" s="724"/>
      <c r="I26" s="724"/>
      <c r="J26" s="724"/>
      <c r="K26" s="724"/>
      <c r="L26" s="725"/>
      <c r="M26" s="407">
        <f>M11</f>
        <v>100</v>
      </c>
      <c r="N26" s="407"/>
      <c r="O26" s="407">
        <f>O11/L11*100</f>
        <v>40.652805312308537</v>
      </c>
      <c r="P26" s="407"/>
      <c r="Q26" s="407"/>
      <c r="R26" s="407"/>
      <c r="S26" s="407">
        <v>100</v>
      </c>
      <c r="T26" s="407"/>
      <c r="U26" s="407">
        <f t="shared" ref="U26" si="6">O26</f>
        <v>40.652805312308537</v>
      </c>
      <c r="V26" s="392"/>
      <c r="W26" s="392"/>
      <c r="X26" s="392"/>
      <c r="Y26" s="392">
        <f>SUM(Y12:Y24)/13</f>
        <v>659.38616938616929</v>
      </c>
      <c r="Z26" s="392"/>
      <c r="AA26" s="392">
        <f>SUM(AA12:AA24)/13</f>
        <v>52.520774365334503</v>
      </c>
      <c r="AB26" s="418"/>
    </row>
    <row r="27" spans="1:33" x14ac:dyDescent="0.25">
      <c r="A27" s="414"/>
      <c r="B27" s="463"/>
      <c r="C27" s="723" t="s">
        <v>46</v>
      </c>
      <c r="D27" s="724"/>
      <c r="E27" s="724"/>
      <c r="F27" s="724"/>
      <c r="G27" s="724"/>
      <c r="H27" s="724"/>
      <c r="I27" s="724"/>
      <c r="J27" s="724"/>
      <c r="K27" s="724"/>
      <c r="L27" s="725"/>
      <c r="M27" s="375" t="s">
        <v>52</v>
      </c>
      <c r="N27" s="375"/>
      <c r="O27" s="375" t="s">
        <v>47</v>
      </c>
      <c r="P27" s="375"/>
      <c r="Q27" s="375"/>
      <c r="R27" s="375"/>
      <c r="S27" s="375" t="s">
        <v>52</v>
      </c>
      <c r="T27" s="375"/>
      <c r="U27" s="375" t="s">
        <v>52</v>
      </c>
      <c r="V27" s="375"/>
      <c r="W27" s="375"/>
      <c r="X27" s="373"/>
      <c r="Y27" s="373"/>
      <c r="Z27" s="373"/>
      <c r="AA27" s="373"/>
      <c r="AB27" s="418"/>
    </row>
    <row r="28" spans="1:33" ht="25.5" x14ac:dyDescent="0.25">
      <c r="A28" s="414"/>
      <c r="B28" s="463"/>
      <c r="C28" s="376" t="s">
        <v>49</v>
      </c>
      <c r="D28" s="376" t="s">
        <v>340</v>
      </c>
      <c r="E28" s="363">
        <f>SUM(E29:E29)/SUM(E29:E29)*100</f>
        <v>100</v>
      </c>
      <c r="F28" s="362" t="s">
        <v>50</v>
      </c>
      <c r="G28" s="406">
        <f>SUM(G29:G29)</f>
        <v>714500</v>
      </c>
      <c r="H28" s="363">
        <f>SUM(H29:H29)/SUM(H29:H29)*100</f>
        <v>100</v>
      </c>
      <c r="I28" s="406">
        <f>SUM(I29:I29)</f>
        <v>340721.36</v>
      </c>
      <c r="J28" s="363">
        <f>SUM(J29:J29)/SUM(J29:J29)*100</f>
        <v>100</v>
      </c>
      <c r="K28" s="363" t="s">
        <v>50</v>
      </c>
      <c r="L28" s="406">
        <f>SUM(L29:L29)</f>
        <v>158295.5</v>
      </c>
      <c r="M28" s="384">
        <f>((M29)/(J29))*100</f>
        <v>50</v>
      </c>
      <c r="N28" s="631" t="s">
        <v>50</v>
      </c>
      <c r="O28" s="406">
        <f>SUM(O29:O29)</f>
        <v>37814.1</v>
      </c>
      <c r="P28" s="384">
        <f>((P29)/(M29))*100</f>
        <v>100</v>
      </c>
      <c r="Q28" s="631" t="s">
        <v>50</v>
      </c>
      <c r="R28" s="406">
        <f>R29</f>
        <v>117454.79999999999</v>
      </c>
      <c r="S28" s="406">
        <f>M28</f>
        <v>50</v>
      </c>
      <c r="T28" s="406" t="s">
        <v>50</v>
      </c>
      <c r="U28" s="406">
        <f>U29</f>
        <v>155268.9</v>
      </c>
      <c r="V28" s="393">
        <f>SUM(V29)/SUM(V29)*100</f>
        <v>100</v>
      </c>
      <c r="W28" s="393" t="s">
        <v>50</v>
      </c>
      <c r="X28" s="393">
        <f>X29</f>
        <v>495990.26</v>
      </c>
      <c r="Y28" s="362">
        <f>SUM(Y29)/SUM(Y29)*100</f>
        <v>100</v>
      </c>
      <c r="Z28" s="362" t="s">
        <v>50</v>
      </c>
      <c r="AA28" s="362">
        <f>AA29</f>
        <v>69.417811056682993</v>
      </c>
      <c r="AB28" s="419"/>
    </row>
    <row r="29" spans="1:33" ht="25.5" x14ac:dyDescent="0.25">
      <c r="A29" s="414"/>
      <c r="B29" s="463"/>
      <c r="C29" s="420" t="s">
        <v>356</v>
      </c>
      <c r="D29" s="421" t="s">
        <v>415</v>
      </c>
      <c r="E29" s="422">
        <f>6*3</f>
        <v>18</v>
      </c>
      <c r="F29" s="423" t="s">
        <v>135</v>
      </c>
      <c r="G29" s="371">
        <v>714500</v>
      </c>
      <c r="H29" s="422">
        <v>27</v>
      </c>
      <c r="I29" s="422">
        <v>340721.36</v>
      </c>
      <c r="J29" s="422">
        <v>6</v>
      </c>
      <c r="K29" s="422" t="s">
        <v>135</v>
      </c>
      <c r="L29" s="371">
        <v>158295.5</v>
      </c>
      <c r="M29" s="422">
        <v>3</v>
      </c>
      <c r="N29" s="422" t="s">
        <v>135</v>
      </c>
      <c r="O29" s="422">
        <v>37814.1</v>
      </c>
      <c r="P29" s="422">
        <v>3</v>
      </c>
      <c r="Q29" s="422" t="s">
        <v>135</v>
      </c>
      <c r="R29" s="422">
        <f>155268.9-O29</f>
        <v>117454.79999999999</v>
      </c>
      <c r="S29" s="669">
        <f>M29</f>
        <v>3</v>
      </c>
      <c r="T29" s="422" t="s">
        <v>135</v>
      </c>
      <c r="U29" s="674">
        <f>R29+O29</f>
        <v>155268.9</v>
      </c>
      <c r="V29" s="473">
        <f>S29+H29</f>
        <v>30</v>
      </c>
      <c r="W29" s="422" t="s">
        <v>135</v>
      </c>
      <c r="X29" s="426">
        <f>U29+I29</f>
        <v>495990.26</v>
      </c>
      <c r="Y29" s="473">
        <f>+V29/E29*100</f>
        <v>166.66666666666669</v>
      </c>
      <c r="Z29" s="675" t="s">
        <v>135</v>
      </c>
      <c r="AA29" s="675">
        <f>+X29/G29*100</f>
        <v>69.417811056682993</v>
      </c>
      <c r="AB29" s="746" t="s">
        <v>357</v>
      </c>
    </row>
    <row r="30" spans="1:33" x14ac:dyDescent="0.25">
      <c r="A30" s="414"/>
      <c r="B30" s="463"/>
      <c r="C30" s="723" t="s">
        <v>45</v>
      </c>
      <c r="D30" s="724"/>
      <c r="E30" s="724"/>
      <c r="F30" s="724"/>
      <c r="G30" s="724"/>
      <c r="H30" s="724"/>
      <c r="I30" s="724"/>
      <c r="J30" s="724"/>
      <c r="K30" s="724"/>
      <c r="L30" s="725"/>
      <c r="M30" s="372">
        <f>M28</f>
        <v>50</v>
      </c>
      <c r="N30" s="372"/>
      <c r="O30" s="372">
        <f>O28/L28*100</f>
        <v>23.888297519512555</v>
      </c>
      <c r="P30" s="372"/>
      <c r="Q30" s="372"/>
      <c r="R30" s="372"/>
      <c r="S30" s="372">
        <f>M30</f>
        <v>50</v>
      </c>
      <c r="T30" s="372"/>
      <c r="U30" s="372">
        <f>O30</f>
        <v>23.888297519512555</v>
      </c>
      <c r="V30" s="373"/>
      <c r="W30" s="373"/>
      <c r="X30" s="373"/>
      <c r="Y30" s="373">
        <f>SUM(Y29:Y29)/1</f>
        <v>166.66666666666669</v>
      </c>
      <c r="Z30" s="373"/>
      <c r="AA30" s="676">
        <f>SUM(AA29:AA29)/1</f>
        <v>69.417811056682993</v>
      </c>
      <c r="AB30" s="747"/>
    </row>
    <row r="31" spans="1:33" x14ac:dyDescent="0.25">
      <c r="A31" s="414"/>
      <c r="B31" s="463"/>
      <c r="C31" s="723" t="s">
        <v>46</v>
      </c>
      <c r="D31" s="724"/>
      <c r="E31" s="724"/>
      <c r="F31" s="724"/>
      <c r="G31" s="724"/>
      <c r="H31" s="724"/>
      <c r="I31" s="724"/>
      <c r="J31" s="724"/>
      <c r="K31" s="724"/>
      <c r="L31" s="725"/>
      <c r="M31" s="375" t="s">
        <v>51</v>
      </c>
      <c r="N31" s="375"/>
      <c r="O31" s="375" t="s">
        <v>47</v>
      </c>
      <c r="P31" s="375"/>
      <c r="Q31" s="375"/>
      <c r="R31" s="375"/>
      <c r="S31" s="375" t="s">
        <v>51</v>
      </c>
      <c r="T31" s="375"/>
      <c r="U31" s="375" t="s">
        <v>47</v>
      </c>
      <c r="V31" s="375"/>
      <c r="W31" s="375"/>
      <c r="X31" s="373"/>
      <c r="Y31" s="373"/>
      <c r="Z31" s="373"/>
      <c r="AA31" s="676"/>
      <c r="AB31" s="748"/>
    </row>
    <row r="32" spans="1:33" ht="25.5" x14ac:dyDescent="0.25">
      <c r="A32" s="414"/>
      <c r="B32" s="463"/>
      <c r="C32" s="376" t="s">
        <v>358</v>
      </c>
      <c r="D32" s="376" t="s">
        <v>336</v>
      </c>
      <c r="E32" s="363">
        <f>SUM(E33:E33)/SUM(E33:E33)*100</f>
        <v>100</v>
      </c>
      <c r="F32" s="362" t="s">
        <v>50</v>
      </c>
      <c r="G32" s="406">
        <f>SUM(G33:G33)</f>
        <v>133150</v>
      </c>
      <c r="H32" s="363">
        <f>SUM(H33:H33)/SUM(H33:H33)*100</f>
        <v>100</v>
      </c>
      <c r="I32" s="406">
        <f>SUM(I33:I33)</f>
        <v>39390</v>
      </c>
      <c r="J32" s="363">
        <f>J33</f>
        <v>0</v>
      </c>
      <c r="K32" s="363"/>
      <c r="L32" s="406">
        <f>SUM(L33:L33)</f>
        <v>0</v>
      </c>
      <c r="M32" s="384">
        <v>0</v>
      </c>
      <c r="N32" s="384"/>
      <c r="O32" s="406">
        <f>O33</f>
        <v>0</v>
      </c>
      <c r="P32" s="406"/>
      <c r="Q32" s="406"/>
      <c r="R32" s="406"/>
      <c r="S32" s="406">
        <f>M32</f>
        <v>0</v>
      </c>
      <c r="T32" s="406"/>
      <c r="U32" s="406">
        <f>O32</f>
        <v>0</v>
      </c>
      <c r="V32" s="393">
        <f>SUM(V33)/SUM(V33)*100</f>
        <v>100</v>
      </c>
      <c r="W32" s="393" t="s">
        <v>50</v>
      </c>
      <c r="X32" s="393">
        <f>X33</f>
        <v>39390</v>
      </c>
      <c r="Y32" s="362">
        <f>SUM(Y33)/(Y33)*100</f>
        <v>100</v>
      </c>
      <c r="Z32" s="362" t="s">
        <v>50</v>
      </c>
      <c r="AA32" s="362">
        <f>AA33</f>
        <v>29.583176868193767</v>
      </c>
      <c r="AB32" s="419"/>
    </row>
    <row r="33" spans="1:28" ht="25.5" x14ac:dyDescent="0.25">
      <c r="A33" s="414"/>
      <c r="B33" s="463"/>
      <c r="C33" s="428" t="s">
        <v>345</v>
      </c>
      <c r="D33" s="421" t="s">
        <v>416</v>
      </c>
      <c r="E33" s="422">
        <f>24*3</f>
        <v>72</v>
      </c>
      <c r="F33" s="423" t="s">
        <v>427</v>
      </c>
      <c r="G33" s="371">
        <v>133150</v>
      </c>
      <c r="H33" s="422">
        <v>70</v>
      </c>
      <c r="I33" s="422">
        <v>39390</v>
      </c>
      <c r="J33" s="422">
        <v>0</v>
      </c>
      <c r="K33" s="422"/>
      <c r="L33" s="371">
        <v>0</v>
      </c>
      <c r="M33" s="422">
        <v>0</v>
      </c>
      <c r="N33" s="422"/>
      <c r="O33" s="424">
        <v>0</v>
      </c>
      <c r="P33" s="424"/>
      <c r="Q33" s="424"/>
      <c r="R33" s="424"/>
      <c r="S33" s="425">
        <f>M33</f>
        <v>0</v>
      </c>
      <c r="T33" s="425"/>
      <c r="U33" s="425">
        <f>O33</f>
        <v>0</v>
      </c>
      <c r="V33" s="426">
        <f>S33+H33</f>
        <v>70</v>
      </c>
      <c r="W33" s="426" t="s">
        <v>150</v>
      </c>
      <c r="X33" s="426">
        <f>U33+I33</f>
        <v>39390</v>
      </c>
      <c r="Y33" s="675">
        <f>+V33/E33*100</f>
        <v>97.222222222222214</v>
      </c>
      <c r="Z33" s="675" t="s">
        <v>150</v>
      </c>
      <c r="AA33" s="677">
        <f>X33/G33*100</f>
        <v>29.583176868193767</v>
      </c>
      <c r="AB33" s="749" t="s">
        <v>357</v>
      </c>
    </row>
    <row r="34" spans="1:28" x14ac:dyDescent="0.25">
      <c r="A34" s="414"/>
      <c r="B34" s="463"/>
      <c r="C34" s="723" t="s">
        <v>45</v>
      </c>
      <c r="D34" s="724"/>
      <c r="E34" s="724"/>
      <c r="F34" s="724"/>
      <c r="G34" s="724"/>
      <c r="H34" s="724"/>
      <c r="I34" s="724"/>
      <c r="J34" s="724"/>
      <c r="K34" s="724"/>
      <c r="L34" s="725"/>
      <c r="M34" s="372">
        <f>M32</f>
        <v>0</v>
      </c>
      <c r="N34" s="372"/>
      <c r="O34" s="372">
        <v>0</v>
      </c>
      <c r="P34" s="372"/>
      <c r="Q34" s="372"/>
      <c r="R34" s="372"/>
      <c r="S34" s="372">
        <f>M34</f>
        <v>0</v>
      </c>
      <c r="T34" s="372"/>
      <c r="U34" s="372">
        <f>O34</f>
        <v>0</v>
      </c>
      <c r="V34" s="373"/>
      <c r="W34" s="373"/>
      <c r="X34" s="373"/>
      <c r="Y34" s="373">
        <f>SUM(Y33:Y33)/1</f>
        <v>97.222222222222214</v>
      </c>
      <c r="Z34" s="373"/>
      <c r="AA34" s="373">
        <f>SUM(AA33:AA33)/1</f>
        <v>29.583176868193767</v>
      </c>
      <c r="AB34" s="750"/>
    </row>
    <row r="35" spans="1:28" x14ac:dyDescent="0.25">
      <c r="A35" s="414"/>
      <c r="B35" s="463"/>
      <c r="C35" s="723" t="s">
        <v>46</v>
      </c>
      <c r="D35" s="724"/>
      <c r="E35" s="724"/>
      <c r="F35" s="724"/>
      <c r="G35" s="724"/>
      <c r="H35" s="724"/>
      <c r="I35" s="724"/>
      <c r="J35" s="724"/>
      <c r="K35" s="724"/>
      <c r="L35" s="725"/>
      <c r="M35" s="375" t="s">
        <v>51</v>
      </c>
      <c r="N35" s="375"/>
      <c r="O35" s="375" t="s">
        <v>51</v>
      </c>
      <c r="P35" s="375"/>
      <c r="Q35" s="375"/>
      <c r="R35" s="375"/>
      <c r="S35" s="375" t="s">
        <v>51</v>
      </c>
      <c r="T35" s="375"/>
      <c r="U35" s="375" t="s">
        <v>51</v>
      </c>
      <c r="V35" s="375"/>
      <c r="W35" s="375"/>
      <c r="X35" s="373"/>
      <c r="Y35" s="373"/>
      <c r="Z35" s="373"/>
      <c r="AA35" s="373"/>
      <c r="AB35" s="751"/>
    </row>
    <row r="36" spans="1:28" ht="25.5" x14ac:dyDescent="0.25">
      <c r="A36" s="414"/>
      <c r="B36" s="463"/>
      <c r="C36" s="376" t="s">
        <v>25</v>
      </c>
      <c r="D36" s="376" t="s">
        <v>359</v>
      </c>
      <c r="E36" s="363">
        <f>SUM(E37:E37)/SUM(E37:E37)*100</f>
        <v>100</v>
      </c>
      <c r="F36" s="362" t="s">
        <v>50</v>
      </c>
      <c r="G36" s="406">
        <f>SUM(G37:G37)</f>
        <v>703000</v>
      </c>
      <c r="H36" s="363">
        <f>SUM(H37:H37)/SUM(H37:H37)*100</f>
        <v>100</v>
      </c>
      <c r="I36" s="406">
        <f>SUM(I37:I37)</f>
        <v>317250</v>
      </c>
      <c r="J36" s="363">
        <f>SUM(J37:J37)/SUM(J37:J37)*100</f>
        <v>100</v>
      </c>
      <c r="K36" s="363" t="s">
        <v>50</v>
      </c>
      <c r="L36" s="406">
        <f>SUM(L37:L37)</f>
        <v>0</v>
      </c>
      <c r="M36" s="384">
        <f>((M37)/(J37))*100</f>
        <v>0</v>
      </c>
      <c r="N36" s="384" t="s">
        <v>50</v>
      </c>
      <c r="O36" s="406">
        <f>SUM(O37:O37)</f>
        <v>0</v>
      </c>
      <c r="P36" s="406"/>
      <c r="Q36" s="406"/>
      <c r="R36" s="406">
        <f>R37</f>
        <v>0</v>
      </c>
      <c r="S36" s="406">
        <f>M36</f>
        <v>0</v>
      </c>
      <c r="T36" s="406"/>
      <c r="U36" s="406">
        <f>U37</f>
        <v>0</v>
      </c>
      <c r="V36" s="393">
        <f>SUM(V37)/(V37)*100</f>
        <v>100</v>
      </c>
      <c r="W36" s="393" t="s">
        <v>50</v>
      </c>
      <c r="X36" s="393">
        <f>X37</f>
        <v>317250</v>
      </c>
      <c r="Y36" s="362">
        <f>SUM(Y37)/SUM(Y37)*100</f>
        <v>100</v>
      </c>
      <c r="Z36" s="362" t="s">
        <v>50</v>
      </c>
      <c r="AA36" s="362">
        <f>AA37</f>
        <v>45.128022759601706</v>
      </c>
      <c r="AB36" s="377"/>
    </row>
    <row r="37" spans="1:28" x14ac:dyDescent="0.25">
      <c r="A37" s="414"/>
      <c r="B37" s="463"/>
      <c r="C37" s="390" t="s">
        <v>54</v>
      </c>
      <c r="D37" s="429" t="s">
        <v>417</v>
      </c>
      <c r="E37" s="371">
        <f>5*3</f>
        <v>15</v>
      </c>
      <c r="F37" s="423" t="s">
        <v>428</v>
      </c>
      <c r="G37" s="371">
        <v>703000</v>
      </c>
      <c r="H37" s="422">
        <v>40</v>
      </c>
      <c r="I37" s="422">
        <v>317250</v>
      </c>
      <c r="J37" s="425">
        <v>1</v>
      </c>
      <c r="K37" s="425" t="s">
        <v>154</v>
      </c>
      <c r="L37" s="430">
        <v>0</v>
      </c>
      <c r="M37" s="424">
        <v>0</v>
      </c>
      <c r="N37" s="424"/>
      <c r="O37" s="424">
        <v>0</v>
      </c>
      <c r="P37" s="424"/>
      <c r="Q37" s="424"/>
      <c r="R37" s="424">
        <f>0-O37</f>
        <v>0</v>
      </c>
      <c r="S37" s="425">
        <f>M37</f>
        <v>0</v>
      </c>
      <c r="T37" s="425"/>
      <c r="U37" s="425">
        <f>R37+O37</f>
        <v>0</v>
      </c>
      <c r="V37" s="426">
        <f>S37+H37</f>
        <v>40</v>
      </c>
      <c r="W37" s="675" t="s">
        <v>154</v>
      </c>
      <c r="X37" s="426">
        <f>U37+I37</f>
        <v>317250</v>
      </c>
      <c r="Y37" s="427">
        <f>+V37/E37*100</f>
        <v>266.66666666666663</v>
      </c>
      <c r="Z37" s="427" t="s">
        <v>154</v>
      </c>
      <c r="AA37" s="427">
        <f>+X37/G37*100</f>
        <v>45.128022759601706</v>
      </c>
      <c r="AB37" s="749" t="s">
        <v>357</v>
      </c>
    </row>
    <row r="38" spans="1:28" x14ac:dyDescent="0.25">
      <c r="A38" s="414"/>
      <c r="B38" s="463"/>
      <c r="C38" s="723" t="s">
        <v>45</v>
      </c>
      <c r="D38" s="724"/>
      <c r="E38" s="724"/>
      <c r="F38" s="724"/>
      <c r="G38" s="724"/>
      <c r="H38" s="724"/>
      <c r="I38" s="724"/>
      <c r="J38" s="724"/>
      <c r="K38" s="724"/>
      <c r="L38" s="725"/>
      <c r="M38" s="372">
        <f>M36</f>
        <v>0</v>
      </c>
      <c r="N38" s="372"/>
      <c r="O38" s="372">
        <v>0</v>
      </c>
      <c r="P38" s="372"/>
      <c r="Q38" s="372"/>
      <c r="R38" s="372"/>
      <c r="S38" s="372">
        <f>M38</f>
        <v>0</v>
      </c>
      <c r="T38" s="372"/>
      <c r="U38" s="372">
        <f>O38</f>
        <v>0</v>
      </c>
      <c r="V38" s="373"/>
      <c r="W38" s="373"/>
      <c r="X38" s="373"/>
      <c r="Y38" s="373">
        <f>SUM(Y37:Y37)/1</f>
        <v>266.66666666666663</v>
      </c>
      <c r="Z38" s="373"/>
      <c r="AA38" s="373">
        <f>SUM(AA37:AA37)/1</f>
        <v>45.128022759601706</v>
      </c>
      <c r="AB38" s="750"/>
    </row>
    <row r="39" spans="1:28" x14ac:dyDescent="0.25">
      <c r="A39" s="414"/>
      <c r="B39" s="463"/>
      <c r="C39" s="723" t="s">
        <v>46</v>
      </c>
      <c r="D39" s="724"/>
      <c r="E39" s="724"/>
      <c r="F39" s="724"/>
      <c r="G39" s="724"/>
      <c r="H39" s="724"/>
      <c r="I39" s="724"/>
      <c r="J39" s="724"/>
      <c r="K39" s="724"/>
      <c r="L39" s="725"/>
      <c r="M39" s="375" t="s">
        <v>56</v>
      </c>
      <c r="N39" s="375"/>
      <c r="O39" s="375" t="s">
        <v>52</v>
      </c>
      <c r="P39" s="375"/>
      <c r="Q39" s="375"/>
      <c r="R39" s="375"/>
      <c r="S39" s="375" t="s">
        <v>51</v>
      </c>
      <c r="T39" s="375"/>
      <c r="U39" s="375" t="s">
        <v>52</v>
      </c>
      <c r="V39" s="375"/>
      <c r="W39" s="375"/>
      <c r="X39" s="373"/>
      <c r="Y39" s="373"/>
      <c r="Z39" s="373"/>
      <c r="AA39" s="373"/>
      <c r="AB39" s="751"/>
    </row>
    <row r="40" spans="1:28" ht="25.5" x14ac:dyDescent="0.25">
      <c r="A40" s="414"/>
      <c r="B40" s="463"/>
      <c r="C40" s="376" t="s">
        <v>360</v>
      </c>
      <c r="D40" s="391"/>
      <c r="E40" s="363">
        <f>SUM(E42:E43)/SUM(E42:E43)*100</f>
        <v>100</v>
      </c>
      <c r="F40" s="362" t="s">
        <v>50</v>
      </c>
      <c r="G40" s="406">
        <f>SUM(G42:G43)</f>
        <v>95900</v>
      </c>
      <c r="H40" s="363">
        <f>SUM(H42:H43)/SUM(H42:H43)*100</f>
        <v>100</v>
      </c>
      <c r="I40" s="406">
        <f>SUM(I42:I43)</f>
        <v>40495</v>
      </c>
      <c r="J40" s="363"/>
      <c r="K40" s="363"/>
      <c r="L40" s="406"/>
      <c r="M40" s="384"/>
      <c r="N40" s="384"/>
      <c r="O40" s="406"/>
      <c r="P40" s="406"/>
      <c r="Q40" s="406"/>
      <c r="R40" s="406"/>
      <c r="S40" s="406"/>
      <c r="T40" s="406"/>
      <c r="U40" s="406"/>
      <c r="V40" s="393"/>
      <c r="W40" s="393"/>
      <c r="X40" s="393"/>
      <c r="Y40" s="362"/>
      <c r="Z40" s="362"/>
      <c r="AA40" s="362"/>
      <c r="AB40" s="381"/>
    </row>
    <row r="41" spans="1:28" ht="25.5" x14ac:dyDescent="0.25">
      <c r="A41" s="414"/>
      <c r="B41" s="463"/>
      <c r="C41" s="477"/>
      <c r="D41" s="391" t="s">
        <v>420</v>
      </c>
      <c r="E41" s="478"/>
      <c r="F41" s="479"/>
      <c r="G41" s="480"/>
      <c r="H41" s="481"/>
      <c r="I41" s="482"/>
      <c r="J41" s="481">
        <f>7/7*100</f>
        <v>100</v>
      </c>
      <c r="K41" s="481" t="s">
        <v>50</v>
      </c>
      <c r="L41" s="480">
        <f>SUM(L42:L43)</f>
        <v>14000</v>
      </c>
      <c r="M41" s="483">
        <f>SUM(M42)/(M42)*100</f>
        <v>100</v>
      </c>
      <c r="N41" s="688" t="s">
        <v>50</v>
      </c>
      <c r="O41" s="484">
        <f>SUM(O42:O43)</f>
        <v>7000</v>
      </c>
      <c r="P41" s="483">
        <f>SUM(P42)/(P42)*100</f>
        <v>100</v>
      </c>
      <c r="Q41" s="688" t="s">
        <v>50</v>
      </c>
      <c r="R41" s="484">
        <f>R42</f>
        <v>7000</v>
      </c>
      <c r="S41" s="482">
        <f>SUM(S42:S43)/SUM(S42:S43)*100</f>
        <v>100</v>
      </c>
      <c r="T41" s="482" t="s">
        <v>50</v>
      </c>
      <c r="U41" s="482">
        <f>U42</f>
        <v>14000</v>
      </c>
      <c r="V41" s="486">
        <f>SUM(V42:V43)/SUM(V42:V43)*100</f>
        <v>100</v>
      </c>
      <c r="W41" s="486" t="s">
        <v>50</v>
      </c>
      <c r="X41" s="486">
        <f>SUM(X42:X43)</f>
        <v>54495</v>
      </c>
      <c r="Y41" s="487">
        <f>SUM(Y42:Y43)/SUM(Y42:Y43)*100</f>
        <v>100</v>
      </c>
      <c r="Z41" s="487" t="s">
        <v>50</v>
      </c>
      <c r="AA41" s="487">
        <f>SUM(AA42:AA43)</f>
        <v>88.514809590973201</v>
      </c>
      <c r="AB41" s="488"/>
    </row>
    <row r="42" spans="1:28" x14ac:dyDescent="0.25">
      <c r="A42" s="414"/>
      <c r="B42" s="463"/>
      <c r="C42" s="389" t="s">
        <v>343</v>
      </c>
      <c r="D42" s="394" t="s">
        <v>418</v>
      </c>
      <c r="E42" s="365">
        <f>4*3</f>
        <v>12</v>
      </c>
      <c r="F42" s="369" t="s">
        <v>162</v>
      </c>
      <c r="G42" s="365">
        <v>70900</v>
      </c>
      <c r="H42" s="370">
        <v>30</v>
      </c>
      <c r="I42" s="370">
        <v>35995</v>
      </c>
      <c r="J42" s="370">
        <v>10</v>
      </c>
      <c r="K42" s="370" t="s">
        <v>162</v>
      </c>
      <c r="L42" s="365">
        <v>14000</v>
      </c>
      <c r="M42" s="424">
        <v>5</v>
      </c>
      <c r="N42" s="424" t="s">
        <v>162</v>
      </c>
      <c r="O42" s="424">
        <v>7000</v>
      </c>
      <c r="P42" s="424">
        <v>5</v>
      </c>
      <c r="Q42" s="424" t="s">
        <v>162</v>
      </c>
      <c r="R42" s="686">
        <f>14000-O42</f>
        <v>7000</v>
      </c>
      <c r="S42" s="366">
        <f>M42</f>
        <v>5</v>
      </c>
      <c r="T42" s="366" t="s">
        <v>162</v>
      </c>
      <c r="U42" s="366">
        <f>R42+O42</f>
        <v>14000</v>
      </c>
      <c r="V42" s="395">
        <f>S42+H42</f>
        <v>35</v>
      </c>
      <c r="W42" s="395" t="s">
        <v>162</v>
      </c>
      <c r="X42" s="395">
        <f>U42+I42</f>
        <v>49995</v>
      </c>
      <c r="Y42" s="416">
        <f>+V42/E42*100</f>
        <v>291.66666666666663</v>
      </c>
      <c r="Z42" s="416" t="s">
        <v>162</v>
      </c>
      <c r="AA42" s="416">
        <f>+X42/G42*100</f>
        <v>70.514809590973201</v>
      </c>
      <c r="AB42" s="752" t="s">
        <v>357</v>
      </c>
    </row>
    <row r="43" spans="1:28" ht="25.5" x14ac:dyDescent="0.25">
      <c r="A43" s="414"/>
      <c r="B43" s="463"/>
      <c r="C43" s="390" t="s">
        <v>361</v>
      </c>
      <c r="D43" s="394" t="s">
        <v>418</v>
      </c>
      <c r="E43" s="371">
        <v>1</v>
      </c>
      <c r="F43" s="474" t="s">
        <v>162</v>
      </c>
      <c r="G43" s="371">
        <v>25000</v>
      </c>
      <c r="H43" s="430">
        <v>1</v>
      </c>
      <c r="I43" s="430">
        <v>4500</v>
      </c>
      <c r="J43" s="379">
        <v>0</v>
      </c>
      <c r="K43" s="379"/>
      <c r="L43" s="430">
        <v>0</v>
      </c>
      <c r="M43" s="430">
        <v>0</v>
      </c>
      <c r="N43" s="430"/>
      <c r="O43" s="430">
        <v>0</v>
      </c>
      <c r="P43" s="430"/>
      <c r="Q43" s="430"/>
      <c r="R43" s="430"/>
      <c r="S43" s="379">
        <f>M43</f>
        <v>0</v>
      </c>
      <c r="T43" s="425"/>
      <c r="U43" s="425">
        <f>O43</f>
        <v>0</v>
      </c>
      <c r="V43" s="426">
        <f>S43+H43</f>
        <v>1</v>
      </c>
      <c r="W43" s="426" t="s">
        <v>162</v>
      </c>
      <c r="X43" s="426">
        <f>U43+I43</f>
        <v>4500</v>
      </c>
      <c r="Y43" s="427">
        <f>+V43/E43*100</f>
        <v>100</v>
      </c>
      <c r="Z43" s="427" t="s">
        <v>162</v>
      </c>
      <c r="AA43" s="427">
        <f>+X43/G43*100</f>
        <v>18</v>
      </c>
      <c r="AB43" s="753"/>
    </row>
    <row r="44" spans="1:28" x14ac:dyDescent="0.25">
      <c r="A44" s="723" t="s">
        <v>45</v>
      </c>
      <c r="B44" s="724"/>
      <c r="C44" s="724"/>
      <c r="D44" s="724"/>
      <c r="E44" s="724"/>
      <c r="F44" s="724"/>
      <c r="G44" s="724"/>
      <c r="H44" s="724"/>
      <c r="I44" s="724"/>
      <c r="J44" s="724"/>
      <c r="K44" s="724"/>
      <c r="L44" s="725"/>
      <c r="M44" s="372">
        <f>M40</f>
        <v>0</v>
      </c>
      <c r="N44" s="372"/>
      <c r="O44" s="372">
        <f>O42/L42*100</f>
        <v>50</v>
      </c>
      <c r="P44" s="372"/>
      <c r="Q44" s="372"/>
      <c r="R44" s="372"/>
      <c r="S44" s="372">
        <f>M44</f>
        <v>0</v>
      </c>
      <c r="T44" s="372"/>
      <c r="U44" s="372">
        <f>O44</f>
        <v>50</v>
      </c>
      <c r="V44" s="373"/>
      <c r="W44" s="373"/>
      <c r="X44" s="373"/>
      <c r="Y44" s="373">
        <f>SUM(Y42:Y43)/2</f>
        <v>195.83333333333331</v>
      </c>
      <c r="Z44" s="373"/>
      <c r="AA44" s="373">
        <f>SUM(AA42:AA43)/2</f>
        <v>44.2574047954866</v>
      </c>
      <c r="AB44" s="385"/>
    </row>
    <row r="45" spans="1:28" x14ac:dyDescent="0.25">
      <c r="A45" s="706" t="s">
        <v>46</v>
      </c>
      <c r="B45" s="707"/>
      <c r="C45" s="707"/>
      <c r="D45" s="707"/>
      <c r="E45" s="707"/>
      <c r="F45" s="707"/>
      <c r="G45" s="707"/>
      <c r="H45" s="707"/>
      <c r="I45" s="707"/>
      <c r="J45" s="707"/>
      <c r="K45" s="707"/>
      <c r="L45" s="708"/>
      <c r="M45" s="431" t="s">
        <v>51</v>
      </c>
      <c r="N45" s="431"/>
      <c r="O45" s="431" t="s">
        <v>48</v>
      </c>
      <c r="P45" s="431"/>
      <c r="Q45" s="431"/>
      <c r="R45" s="431"/>
      <c r="S45" s="431" t="s">
        <v>51</v>
      </c>
      <c r="T45" s="431"/>
      <c r="U45" s="431" t="s">
        <v>52</v>
      </c>
      <c r="V45" s="431"/>
      <c r="W45" s="431"/>
      <c r="X45" s="432"/>
      <c r="Y45" s="432"/>
      <c r="Z45" s="432"/>
      <c r="AA45" s="432"/>
      <c r="AB45" s="683"/>
    </row>
    <row r="46" spans="1:28" ht="89.25" x14ac:dyDescent="0.25">
      <c r="A46" s="434"/>
      <c r="B46" s="467" t="s">
        <v>381</v>
      </c>
      <c r="C46" s="446" t="s">
        <v>372</v>
      </c>
      <c r="D46" s="435" t="s">
        <v>373</v>
      </c>
      <c r="E46" s="436">
        <f>SUM(E47:E49)/SUM(E47:E49)*100</f>
        <v>100</v>
      </c>
      <c r="F46" s="360" t="s">
        <v>50</v>
      </c>
      <c r="G46" s="437">
        <f>SUM(G47:G49)</f>
        <v>2749739.5</v>
      </c>
      <c r="H46" s="436">
        <f>SUM(H47:H49)/SUM(H47:H49)*100</f>
        <v>100</v>
      </c>
      <c r="I46" s="437">
        <f>SUM(I47:I49)</f>
        <v>1838558.9079999998</v>
      </c>
      <c r="J46" s="436">
        <f>SUM(J47:J49)/SUM(J47:J49)*100</f>
        <v>100</v>
      </c>
      <c r="K46" s="436" t="s">
        <v>50</v>
      </c>
      <c r="L46" s="437">
        <f>SUM(L47:L49)</f>
        <v>216602.6</v>
      </c>
      <c r="M46" s="436">
        <f>SUM(M47:M49)/SUM(J47:J49)*100</f>
        <v>100</v>
      </c>
      <c r="N46" s="436" t="s">
        <v>50</v>
      </c>
      <c r="O46" s="437">
        <f>SUM(O47:O49)</f>
        <v>62697.9</v>
      </c>
      <c r="P46" s="436">
        <f>SUM(P47:P49)/SUM(M47:M49)*100</f>
        <v>100</v>
      </c>
      <c r="Q46" s="436" t="s">
        <v>50</v>
      </c>
      <c r="R46" s="437">
        <f>SUM(R47:R49)</f>
        <v>148478.1</v>
      </c>
      <c r="S46" s="437">
        <f>M46</f>
        <v>100</v>
      </c>
      <c r="T46" s="437" t="s">
        <v>50</v>
      </c>
      <c r="U46" s="437">
        <f>SUM(U47:U49)</f>
        <v>211176</v>
      </c>
      <c r="V46" s="364">
        <f>SUM(V47:V49)/SUM(V47:V49)*100</f>
        <v>100</v>
      </c>
      <c r="W46" s="364" t="s">
        <v>50</v>
      </c>
      <c r="X46" s="364">
        <f>SUM(X47:X49)</f>
        <v>2049734.9079999998</v>
      </c>
      <c r="Y46" s="360">
        <f>SUM(Y47:Y49)/SUM(Y47:Y49)*100</f>
        <v>100</v>
      </c>
      <c r="Z46" s="360" t="s">
        <v>50</v>
      </c>
      <c r="AA46" s="360">
        <f>SUM(AA47:AA49)</f>
        <v>85.712707205746867</v>
      </c>
      <c r="AB46" s="382"/>
    </row>
    <row r="47" spans="1:28" ht="25.5" x14ac:dyDescent="0.25">
      <c r="A47" s="438"/>
      <c r="B47" s="465"/>
      <c r="C47" s="462" t="s">
        <v>374</v>
      </c>
      <c r="D47" s="394" t="s">
        <v>377</v>
      </c>
      <c r="E47" s="440">
        <f>2*3</f>
        <v>6</v>
      </c>
      <c r="F47" s="439" t="s">
        <v>362</v>
      </c>
      <c r="G47" s="440">
        <v>1375300</v>
      </c>
      <c r="H47" s="397">
        <v>5</v>
      </c>
      <c r="I47" s="397">
        <v>1260553.46</v>
      </c>
      <c r="J47" s="440">
        <v>1</v>
      </c>
      <c r="K47" s="397" t="s">
        <v>520</v>
      </c>
      <c r="L47" s="396">
        <v>47386</v>
      </c>
      <c r="M47" s="397">
        <v>1</v>
      </c>
      <c r="N47" s="397" t="s">
        <v>520</v>
      </c>
      <c r="O47" s="397">
        <v>29741.9</v>
      </c>
      <c r="P47" s="397">
        <v>1</v>
      </c>
      <c r="Q47" s="397" t="s">
        <v>520</v>
      </c>
      <c r="R47" s="689">
        <f>47365-O47</f>
        <v>17623.099999999999</v>
      </c>
      <c r="S47" s="398">
        <f>M47</f>
        <v>1</v>
      </c>
      <c r="T47" s="397" t="s">
        <v>520</v>
      </c>
      <c r="U47" s="395">
        <f>R47+O47</f>
        <v>47365</v>
      </c>
      <c r="V47" s="395">
        <f>S47+H47</f>
        <v>6</v>
      </c>
      <c r="W47" s="397" t="s">
        <v>520</v>
      </c>
      <c r="X47" s="395">
        <f>U47+I47</f>
        <v>1307918.46</v>
      </c>
      <c r="Y47" s="395">
        <f>V47/E47*100</f>
        <v>100</v>
      </c>
      <c r="Z47" s="397" t="s">
        <v>520</v>
      </c>
      <c r="AA47" s="416">
        <v>0</v>
      </c>
      <c r="AB47" s="754" t="s">
        <v>357</v>
      </c>
    </row>
    <row r="48" spans="1:28" ht="25.5" x14ac:dyDescent="0.25">
      <c r="A48" s="402"/>
      <c r="B48" s="465"/>
      <c r="C48" s="394" t="s">
        <v>375</v>
      </c>
      <c r="D48" s="389" t="s">
        <v>378</v>
      </c>
      <c r="E48" s="440">
        <f>2*3</f>
        <v>6</v>
      </c>
      <c r="F48" s="439" t="s">
        <v>362</v>
      </c>
      <c r="G48" s="440">
        <v>914439.5</v>
      </c>
      <c r="H48" s="365">
        <v>6</v>
      </c>
      <c r="I48" s="365">
        <v>578005.44799999997</v>
      </c>
      <c r="J48" s="365">
        <v>1</v>
      </c>
      <c r="K48" s="365" t="s">
        <v>520</v>
      </c>
      <c r="L48" s="365">
        <v>125235</v>
      </c>
      <c r="M48" s="397">
        <v>1</v>
      </c>
      <c r="N48" s="365" t="s">
        <v>520</v>
      </c>
      <c r="O48" s="397">
        <v>22293</v>
      </c>
      <c r="P48" s="397">
        <v>1</v>
      </c>
      <c r="Q48" s="365" t="s">
        <v>520</v>
      </c>
      <c r="R48" s="689">
        <f>121323-O48</f>
        <v>99030</v>
      </c>
      <c r="S48" s="398">
        <f>M48</f>
        <v>1</v>
      </c>
      <c r="T48" s="365" t="s">
        <v>520</v>
      </c>
      <c r="U48" s="395">
        <f t="shared" ref="U48:U49" si="7">R48+O48</f>
        <v>121323</v>
      </c>
      <c r="V48" s="395">
        <f>S48+H48</f>
        <v>7</v>
      </c>
      <c r="W48" s="365" t="s">
        <v>520</v>
      </c>
      <c r="X48" s="395">
        <f>U48+I48</f>
        <v>699328.44799999997</v>
      </c>
      <c r="Y48" s="395">
        <f>+V48/E48*100</f>
        <v>116.66666666666667</v>
      </c>
      <c r="Z48" s="365" t="s">
        <v>520</v>
      </c>
      <c r="AA48" s="416">
        <f>+X48/G48*100</f>
        <v>76.476185466616428</v>
      </c>
      <c r="AB48" s="754"/>
    </row>
    <row r="49" spans="1:28" ht="25.5" x14ac:dyDescent="0.25">
      <c r="A49" s="402"/>
      <c r="B49" s="465"/>
      <c r="C49" s="394" t="s">
        <v>376</v>
      </c>
      <c r="D49" s="389" t="s">
        <v>379</v>
      </c>
      <c r="E49" s="440">
        <f>1*3</f>
        <v>3</v>
      </c>
      <c r="F49" s="439" t="s">
        <v>362</v>
      </c>
      <c r="G49" s="440">
        <f>460000</f>
        <v>460000</v>
      </c>
      <c r="H49" s="365">
        <v>0</v>
      </c>
      <c r="I49" s="365">
        <v>0</v>
      </c>
      <c r="J49" s="365">
        <v>1</v>
      </c>
      <c r="K49" s="365" t="s">
        <v>520</v>
      </c>
      <c r="L49" s="365">
        <v>43981.599999999999</v>
      </c>
      <c r="M49" s="365">
        <v>1</v>
      </c>
      <c r="N49" s="365" t="s">
        <v>520</v>
      </c>
      <c r="O49" s="397">
        <v>10663</v>
      </c>
      <c r="P49" s="365">
        <v>1</v>
      </c>
      <c r="Q49" s="365" t="s">
        <v>520</v>
      </c>
      <c r="R49" s="689">
        <f>42488-O49</f>
        <v>31825</v>
      </c>
      <c r="S49" s="398">
        <f>M49</f>
        <v>1</v>
      </c>
      <c r="T49" s="365" t="s">
        <v>520</v>
      </c>
      <c r="U49" s="395">
        <f t="shared" si="7"/>
        <v>42488</v>
      </c>
      <c r="V49" s="395">
        <f>S49+H49</f>
        <v>1</v>
      </c>
      <c r="W49" s="365" t="s">
        <v>520</v>
      </c>
      <c r="X49" s="395">
        <f>U49+I49</f>
        <v>42488</v>
      </c>
      <c r="Y49" s="395">
        <f>+V49/E49*100</f>
        <v>33.333333333333329</v>
      </c>
      <c r="Z49" s="365" t="s">
        <v>520</v>
      </c>
      <c r="AA49" s="416">
        <f>+X49/G49*100</f>
        <v>9.2365217391304348</v>
      </c>
      <c r="AB49" s="754"/>
    </row>
    <row r="50" spans="1:28" x14ac:dyDescent="0.25">
      <c r="A50" s="402"/>
      <c r="B50" s="465"/>
      <c r="C50" s="389"/>
      <c r="D50" s="389"/>
      <c r="E50" s="473"/>
      <c r="F50" s="439"/>
      <c r="G50" s="440"/>
      <c r="H50" s="365"/>
      <c r="I50" s="365"/>
      <c r="J50" s="365"/>
      <c r="K50" s="365"/>
      <c r="L50" s="365"/>
      <c r="M50" s="367"/>
      <c r="N50" s="367"/>
      <c r="O50" s="396"/>
      <c r="P50" s="367"/>
      <c r="Q50" s="367"/>
      <c r="R50" s="396"/>
      <c r="S50" s="442"/>
      <c r="T50" s="442"/>
      <c r="U50" s="378"/>
      <c r="V50" s="395"/>
      <c r="W50" s="395"/>
      <c r="X50" s="395"/>
      <c r="Y50" s="416"/>
      <c r="Z50" s="416"/>
      <c r="AA50" s="416"/>
      <c r="AB50" s="461"/>
    </row>
    <row r="51" spans="1:28" x14ac:dyDescent="0.25">
      <c r="A51" s="414"/>
      <c r="B51" s="465"/>
      <c r="C51" s="723" t="s">
        <v>45</v>
      </c>
      <c r="D51" s="724"/>
      <c r="E51" s="724"/>
      <c r="F51" s="724"/>
      <c r="G51" s="724"/>
      <c r="H51" s="724"/>
      <c r="I51" s="724"/>
      <c r="J51" s="724"/>
      <c r="K51" s="724"/>
      <c r="L51" s="725"/>
      <c r="M51" s="407">
        <f>M46</f>
        <v>100</v>
      </c>
      <c r="N51" s="407"/>
      <c r="O51" s="407">
        <f>O46/L46*100</f>
        <v>28.946051432438946</v>
      </c>
      <c r="P51" s="407"/>
      <c r="Q51" s="407"/>
      <c r="R51" s="407"/>
      <c r="S51" s="407">
        <f>M51</f>
        <v>100</v>
      </c>
      <c r="T51" s="407"/>
      <c r="U51" s="407">
        <f>O51</f>
        <v>28.946051432438946</v>
      </c>
      <c r="V51" s="392"/>
      <c r="W51" s="392"/>
      <c r="X51" s="392"/>
      <c r="Y51" s="392">
        <f>SUM(Y47:Y49)/3</f>
        <v>83.333333333333329</v>
      </c>
      <c r="Z51" s="392"/>
      <c r="AA51" s="392">
        <f>SUM(AA47:AA49)/3</f>
        <v>28.570902401915621</v>
      </c>
      <c r="AB51" s="418"/>
    </row>
    <row r="52" spans="1:28" x14ac:dyDescent="0.25">
      <c r="A52" s="414"/>
      <c r="B52" s="465"/>
      <c r="C52" s="723" t="s">
        <v>46</v>
      </c>
      <c r="D52" s="724"/>
      <c r="E52" s="724"/>
      <c r="F52" s="724"/>
      <c r="G52" s="724"/>
      <c r="H52" s="724"/>
      <c r="I52" s="724"/>
      <c r="J52" s="724"/>
      <c r="K52" s="724"/>
      <c r="L52" s="725"/>
      <c r="M52" s="431" t="s">
        <v>51</v>
      </c>
      <c r="N52" s="431"/>
      <c r="O52" s="431" t="s">
        <v>51</v>
      </c>
      <c r="P52" s="431"/>
      <c r="Q52" s="431"/>
      <c r="R52" s="431"/>
      <c r="S52" s="431" t="s">
        <v>51</v>
      </c>
      <c r="T52" s="431"/>
      <c r="U52" s="431" t="s">
        <v>51</v>
      </c>
      <c r="V52" s="431"/>
      <c r="W52" s="431"/>
      <c r="X52" s="432"/>
      <c r="Y52" s="432"/>
      <c r="Z52" s="432"/>
      <c r="AA52" s="432"/>
      <c r="AB52" s="418"/>
    </row>
    <row r="53" spans="1:28" ht="25.5" x14ac:dyDescent="0.25">
      <c r="A53" s="447"/>
      <c r="B53" s="465"/>
      <c r="C53" s="361" t="s">
        <v>363</v>
      </c>
      <c r="D53" s="380" t="s">
        <v>364</v>
      </c>
      <c r="E53" s="436">
        <f>SUM(E54:E59)/SUM(E54:E59)*100</f>
        <v>100</v>
      </c>
      <c r="F53" s="360" t="s">
        <v>50</v>
      </c>
      <c r="G53" s="437">
        <f>SUM(G54:G59)</f>
        <v>1895650</v>
      </c>
      <c r="H53" s="436">
        <f>SUM(H54:H59)/SUM(H54:H59)*100</f>
        <v>100</v>
      </c>
      <c r="I53" s="437">
        <f>SUM(I54:I59)</f>
        <v>412394.08100000001</v>
      </c>
      <c r="J53" s="436">
        <f>SUM(J54:J59)/SUM(J54:J59)*100</f>
        <v>100</v>
      </c>
      <c r="K53" s="436" t="s">
        <v>50</v>
      </c>
      <c r="L53" s="437">
        <f>SUM(L54:L59)</f>
        <v>2770</v>
      </c>
      <c r="M53" s="436">
        <f>SUM(M54:M59)/SUM(J54:J59)*100</f>
        <v>100</v>
      </c>
      <c r="N53" s="436" t="s">
        <v>50</v>
      </c>
      <c r="O53" s="437">
        <f>SUM(O54:O59)</f>
        <v>1020</v>
      </c>
      <c r="P53" s="436">
        <f>SUM(P54:P59)/SUM(M54:M59)*100</f>
        <v>100</v>
      </c>
      <c r="Q53" s="436" t="s">
        <v>50</v>
      </c>
      <c r="R53" s="437">
        <f>SUM(R54:R59)</f>
        <v>1690</v>
      </c>
      <c r="S53" s="437">
        <f>SUM(S54:S59)/SUM(S54:S59)*100</f>
        <v>100</v>
      </c>
      <c r="T53" s="437" t="s">
        <v>50</v>
      </c>
      <c r="U53" s="437">
        <f>SUM(U54:U59)</f>
        <v>2710</v>
      </c>
      <c r="V53" s="364">
        <f>SUM(V54:V59)/SUM(V54:V59)*100</f>
        <v>100</v>
      </c>
      <c r="W53" s="364" t="s">
        <v>50</v>
      </c>
      <c r="X53" s="364">
        <f>SUM(X54:X59)</f>
        <v>415104.08100000001</v>
      </c>
      <c r="Y53" s="360">
        <f>SUM(Y54:Y59)/SUM(Y54:Y59)*100</f>
        <v>100</v>
      </c>
      <c r="Z53" s="360" t="s">
        <v>50</v>
      </c>
      <c r="AA53" s="360">
        <f>SUM(AA54:AA59)</f>
        <v>253.10721509984498</v>
      </c>
      <c r="AB53" s="382"/>
    </row>
    <row r="54" spans="1:28" x14ac:dyDescent="0.25">
      <c r="A54" s="448"/>
      <c r="B54" s="465"/>
      <c r="C54" s="449" t="s">
        <v>365</v>
      </c>
      <c r="D54" s="445" t="s">
        <v>410</v>
      </c>
      <c r="E54" s="397">
        <f>2*3</f>
        <v>6</v>
      </c>
      <c r="F54" s="690" t="s">
        <v>429</v>
      </c>
      <c r="G54" s="397">
        <v>265650</v>
      </c>
      <c r="H54" s="689">
        <v>9</v>
      </c>
      <c r="I54" s="689">
        <v>191011.641</v>
      </c>
      <c r="J54" s="691">
        <v>1</v>
      </c>
      <c r="K54" s="691" t="s">
        <v>157</v>
      </c>
      <c r="L54" s="397">
        <v>1020</v>
      </c>
      <c r="M54" s="397">
        <v>1</v>
      </c>
      <c r="N54" s="397" t="s">
        <v>157</v>
      </c>
      <c r="O54" s="397">
        <v>1020</v>
      </c>
      <c r="P54" s="397">
        <v>1</v>
      </c>
      <c r="Q54" s="397" t="s">
        <v>157</v>
      </c>
      <c r="R54" s="689">
        <f>1020-O54</f>
        <v>0</v>
      </c>
      <c r="S54" s="691">
        <f t="shared" ref="S54:S58" si="8">M54</f>
        <v>1</v>
      </c>
      <c r="T54" s="691" t="s">
        <v>157</v>
      </c>
      <c r="U54" s="691">
        <f>R54+O54</f>
        <v>1020</v>
      </c>
      <c r="V54" s="395">
        <f t="shared" ref="V54:V59" si="9">S54+H54</f>
        <v>10</v>
      </c>
      <c r="W54" s="395"/>
      <c r="X54" s="395">
        <f t="shared" ref="X54:X59" si="10">U54+I54</f>
        <v>192031.641</v>
      </c>
      <c r="Y54" s="395">
        <f>+V54/E54*100</f>
        <v>166.66666666666669</v>
      </c>
      <c r="Z54" s="395"/>
      <c r="AA54" s="395">
        <f t="shared" ref="AA54:AA59" si="11">+X54/G54*100</f>
        <v>72.28746132128741</v>
      </c>
      <c r="AB54" s="685"/>
    </row>
    <row r="55" spans="1:28" x14ac:dyDescent="0.25">
      <c r="A55" s="448"/>
      <c r="B55" s="465"/>
      <c r="C55" s="449" t="s">
        <v>366</v>
      </c>
      <c r="D55" s="445" t="s">
        <v>419</v>
      </c>
      <c r="E55" s="397">
        <v>0</v>
      </c>
      <c r="F55" s="690" t="s">
        <v>157</v>
      </c>
      <c r="G55" s="397">
        <v>365000</v>
      </c>
      <c r="H55" s="689">
        <v>0</v>
      </c>
      <c r="I55" s="689">
        <v>21655</v>
      </c>
      <c r="J55" s="691">
        <v>0</v>
      </c>
      <c r="K55" s="691"/>
      <c r="L55" s="397">
        <v>0</v>
      </c>
      <c r="M55" s="689">
        <v>0</v>
      </c>
      <c r="N55" s="689"/>
      <c r="O55" s="689">
        <v>0</v>
      </c>
      <c r="P55" s="689">
        <v>0</v>
      </c>
      <c r="Q55" s="689"/>
      <c r="R55" s="689"/>
      <c r="S55" s="691">
        <f t="shared" si="8"/>
        <v>0</v>
      </c>
      <c r="T55" s="691"/>
      <c r="U55" s="691">
        <f t="shared" ref="U55:U60" si="12">O55</f>
        <v>0</v>
      </c>
      <c r="V55" s="395">
        <f t="shared" si="9"/>
        <v>0</v>
      </c>
      <c r="W55" s="395"/>
      <c r="X55" s="395">
        <f t="shared" si="10"/>
        <v>21655</v>
      </c>
      <c r="Y55" s="395">
        <v>0</v>
      </c>
      <c r="Z55" s="395"/>
      <c r="AA55" s="395">
        <f t="shared" si="11"/>
        <v>5.9328767123287669</v>
      </c>
      <c r="AB55" s="685"/>
    </row>
    <row r="56" spans="1:28" ht="25.5" x14ac:dyDescent="0.25">
      <c r="A56" s="448"/>
      <c r="B56" s="465"/>
      <c r="C56" s="449" t="s">
        <v>367</v>
      </c>
      <c r="D56" s="445" t="s">
        <v>412</v>
      </c>
      <c r="E56" s="397">
        <v>0</v>
      </c>
      <c r="F56" s="690" t="str">
        <f>F54</f>
        <v>lomba</v>
      </c>
      <c r="G56" s="397">
        <v>600000</v>
      </c>
      <c r="H56" s="689">
        <v>0</v>
      </c>
      <c r="I56" s="689">
        <v>0</v>
      </c>
      <c r="J56" s="691">
        <v>0</v>
      </c>
      <c r="K56" s="691"/>
      <c r="L56" s="397">
        <v>0</v>
      </c>
      <c r="M56" s="689">
        <v>0</v>
      </c>
      <c r="N56" s="689"/>
      <c r="O56" s="689">
        <v>0</v>
      </c>
      <c r="P56" s="689">
        <v>0</v>
      </c>
      <c r="Q56" s="689"/>
      <c r="R56" s="689"/>
      <c r="S56" s="691">
        <f t="shared" si="8"/>
        <v>0</v>
      </c>
      <c r="T56" s="691"/>
      <c r="U56" s="691">
        <f t="shared" si="12"/>
        <v>0</v>
      </c>
      <c r="V56" s="395">
        <f t="shared" si="9"/>
        <v>0</v>
      </c>
      <c r="W56" s="395"/>
      <c r="X56" s="395">
        <f t="shared" si="10"/>
        <v>0</v>
      </c>
      <c r="Y56" s="395">
        <v>0</v>
      </c>
      <c r="Z56" s="395"/>
      <c r="AA56" s="395">
        <f t="shared" si="11"/>
        <v>0</v>
      </c>
      <c r="AB56" s="685"/>
    </row>
    <row r="57" spans="1:28" ht="25.5" x14ac:dyDescent="0.25">
      <c r="A57" s="448"/>
      <c r="B57" s="465"/>
      <c r="C57" s="449" t="s">
        <v>380</v>
      </c>
      <c r="D57" s="445" t="s">
        <v>411</v>
      </c>
      <c r="E57" s="397">
        <f>2*3</f>
        <v>6</v>
      </c>
      <c r="F57" s="690" t="s">
        <v>337</v>
      </c>
      <c r="G57" s="397">
        <v>145000</v>
      </c>
      <c r="H57" s="689">
        <v>2</v>
      </c>
      <c r="I57" s="689">
        <v>98222.44</v>
      </c>
      <c r="J57" s="691">
        <v>1</v>
      </c>
      <c r="K57" s="691" t="s">
        <v>157</v>
      </c>
      <c r="L57" s="397">
        <v>1750</v>
      </c>
      <c r="M57" s="689">
        <v>1</v>
      </c>
      <c r="N57" s="689" t="s">
        <v>157</v>
      </c>
      <c r="O57" s="689">
        <v>0</v>
      </c>
      <c r="P57" s="689">
        <v>1</v>
      </c>
      <c r="Q57" s="689" t="s">
        <v>157</v>
      </c>
      <c r="R57" s="689">
        <f>1690-O57</f>
        <v>1690</v>
      </c>
      <c r="S57" s="691">
        <f t="shared" si="8"/>
        <v>1</v>
      </c>
      <c r="T57" s="691" t="s">
        <v>157</v>
      </c>
      <c r="U57" s="691">
        <f>R57+O57</f>
        <v>1690</v>
      </c>
      <c r="V57" s="395">
        <f t="shared" si="9"/>
        <v>3</v>
      </c>
      <c r="W57" s="395"/>
      <c r="X57" s="395">
        <f t="shared" si="10"/>
        <v>99912.44</v>
      </c>
      <c r="Y57" s="395">
        <f>+V57/E57*100</f>
        <v>50</v>
      </c>
      <c r="Z57" s="395"/>
      <c r="AA57" s="395">
        <f t="shared" si="11"/>
        <v>68.905131034482764</v>
      </c>
      <c r="AB57" s="685"/>
    </row>
    <row r="58" spans="1:28" ht="25.5" x14ac:dyDescent="0.25">
      <c r="A58" s="448"/>
      <c r="B58" s="465"/>
      <c r="C58" s="449" t="s">
        <v>368</v>
      </c>
      <c r="D58" s="445" t="s">
        <v>413</v>
      </c>
      <c r="E58" s="397">
        <v>0</v>
      </c>
      <c r="F58" s="690" t="str">
        <f>F56</f>
        <v>lomba</v>
      </c>
      <c r="G58" s="397">
        <v>450000</v>
      </c>
      <c r="H58" s="689">
        <v>5</v>
      </c>
      <c r="I58" s="689">
        <v>32350</v>
      </c>
      <c r="J58" s="691">
        <v>0</v>
      </c>
      <c r="K58" s="691"/>
      <c r="L58" s="397">
        <v>0</v>
      </c>
      <c r="M58" s="689">
        <v>0</v>
      </c>
      <c r="N58" s="689"/>
      <c r="O58" s="689">
        <v>0</v>
      </c>
      <c r="P58" s="689">
        <v>0</v>
      </c>
      <c r="Q58" s="689"/>
      <c r="R58" s="689"/>
      <c r="S58" s="691">
        <f t="shared" si="8"/>
        <v>0</v>
      </c>
      <c r="T58" s="691"/>
      <c r="U58" s="691">
        <f t="shared" si="12"/>
        <v>0</v>
      </c>
      <c r="V58" s="395">
        <f t="shared" si="9"/>
        <v>5</v>
      </c>
      <c r="W58" s="395"/>
      <c r="X58" s="395">
        <f t="shared" si="10"/>
        <v>32350</v>
      </c>
      <c r="Y58" s="395">
        <v>0</v>
      </c>
      <c r="Z58" s="395"/>
      <c r="AA58" s="395">
        <f t="shared" si="11"/>
        <v>7.1888888888888891</v>
      </c>
      <c r="AB58" s="685"/>
    </row>
    <row r="59" spans="1:28" x14ac:dyDescent="0.25">
      <c r="A59" s="452"/>
      <c r="B59" s="466"/>
      <c r="C59" s="449" t="s">
        <v>369</v>
      </c>
      <c r="D59" s="453" t="s">
        <v>414</v>
      </c>
      <c r="E59" s="397">
        <v>0</v>
      </c>
      <c r="F59" s="690" t="str">
        <f>F58</f>
        <v>lomba</v>
      </c>
      <c r="G59" s="397">
        <v>70000</v>
      </c>
      <c r="H59" s="397">
        <v>1</v>
      </c>
      <c r="I59" s="397">
        <v>69155</v>
      </c>
      <c r="J59" s="397">
        <v>0</v>
      </c>
      <c r="K59" s="397"/>
      <c r="L59" s="397">
        <v>0</v>
      </c>
      <c r="M59" s="397">
        <v>0</v>
      </c>
      <c r="N59" s="397"/>
      <c r="O59" s="397">
        <v>0</v>
      </c>
      <c r="P59" s="397">
        <v>0</v>
      </c>
      <c r="Q59" s="397"/>
      <c r="R59" s="689"/>
      <c r="S59" s="691">
        <v>0</v>
      </c>
      <c r="T59" s="691"/>
      <c r="U59" s="691">
        <f t="shared" si="12"/>
        <v>0</v>
      </c>
      <c r="V59" s="395">
        <f t="shared" si="9"/>
        <v>1</v>
      </c>
      <c r="W59" s="395"/>
      <c r="X59" s="395">
        <f t="shared" si="10"/>
        <v>69155</v>
      </c>
      <c r="Y59" s="395">
        <v>0</v>
      </c>
      <c r="Z59" s="395"/>
      <c r="AA59" s="395">
        <f t="shared" si="11"/>
        <v>98.792857142857144</v>
      </c>
      <c r="AB59" s="454" t="s">
        <v>338</v>
      </c>
    </row>
    <row r="60" spans="1:28" x14ac:dyDescent="0.25">
      <c r="A60" s="694" t="s">
        <v>45</v>
      </c>
      <c r="B60" s="695"/>
      <c r="C60" s="695"/>
      <c r="D60" s="695"/>
      <c r="E60" s="695"/>
      <c r="F60" s="695"/>
      <c r="G60" s="695"/>
      <c r="H60" s="695"/>
      <c r="I60" s="695"/>
      <c r="J60" s="695"/>
      <c r="K60" s="695"/>
      <c r="L60" s="696"/>
      <c r="M60" s="407">
        <f>M53</f>
        <v>100</v>
      </c>
      <c r="N60" s="407"/>
      <c r="O60" s="407">
        <f>O53/L53*100</f>
        <v>36.823104693140799</v>
      </c>
      <c r="P60" s="407"/>
      <c r="Q60" s="407"/>
      <c r="R60" s="407"/>
      <c r="S60" s="407">
        <f>M60</f>
        <v>100</v>
      </c>
      <c r="T60" s="407"/>
      <c r="U60" s="407">
        <f t="shared" si="12"/>
        <v>36.823104693140799</v>
      </c>
      <c r="V60" s="392"/>
      <c r="W60" s="392"/>
      <c r="X60" s="392"/>
      <c r="Y60" s="392">
        <f>SUM(Y54:Y59)/6</f>
        <v>36.111111111111114</v>
      </c>
      <c r="Z60" s="392"/>
      <c r="AA60" s="392">
        <f>SUM(AA54:AA59)/6</f>
        <v>42.184535849974161</v>
      </c>
      <c r="AB60" s="418"/>
    </row>
    <row r="61" spans="1:28" x14ac:dyDescent="0.25">
      <c r="A61" s="723" t="s">
        <v>46</v>
      </c>
      <c r="B61" s="724"/>
      <c r="C61" s="724"/>
      <c r="D61" s="724"/>
      <c r="E61" s="724"/>
      <c r="F61" s="724"/>
      <c r="G61" s="724"/>
      <c r="H61" s="724"/>
      <c r="I61" s="724"/>
      <c r="J61" s="724"/>
      <c r="K61" s="724"/>
      <c r="L61" s="725"/>
      <c r="M61" s="375" t="s">
        <v>51</v>
      </c>
      <c r="N61" s="375"/>
      <c r="O61" s="375" t="s">
        <v>51</v>
      </c>
      <c r="P61" s="375"/>
      <c r="Q61" s="375"/>
      <c r="R61" s="375"/>
      <c r="S61" s="375" t="s">
        <v>51</v>
      </c>
      <c r="T61" s="375"/>
      <c r="U61" s="375" t="s">
        <v>51</v>
      </c>
      <c r="V61" s="375"/>
      <c r="W61" s="375"/>
      <c r="X61" s="373"/>
      <c r="Y61" s="373"/>
      <c r="Z61" s="373"/>
      <c r="AA61" s="373"/>
      <c r="AB61" s="418"/>
    </row>
    <row r="62" spans="1:28" ht="17.25" x14ac:dyDescent="0.4">
      <c r="A62" s="726" t="s">
        <v>57</v>
      </c>
      <c r="B62" s="727"/>
      <c r="C62" s="727"/>
      <c r="D62" s="727"/>
      <c r="E62" s="727"/>
      <c r="F62" s="727"/>
      <c r="G62" s="727"/>
      <c r="H62" s="727"/>
      <c r="I62" s="727"/>
      <c r="J62" s="727"/>
      <c r="K62" s="630"/>
      <c r="L62" s="405">
        <f>L53+L46+L41+L28+L11</f>
        <v>972176.55</v>
      </c>
      <c r="M62" s="455"/>
      <c r="N62" s="455"/>
      <c r="O62" s="632">
        <f>O53+O46+O41+O36+O32+O28+O11</f>
        <v>344524.97</v>
      </c>
      <c r="P62" s="632"/>
      <c r="Q62" s="632"/>
      <c r="R62" s="632">
        <f>R53+R46+R41+R36+R32+R28+R11</f>
        <v>608909.33000000007</v>
      </c>
      <c r="S62" s="455"/>
      <c r="T62" s="455"/>
      <c r="U62" s="405">
        <f>O62+R62</f>
        <v>953434.3</v>
      </c>
      <c r="V62" s="456"/>
      <c r="W62" s="456"/>
      <c r="X62" s="456"/>
      <c r="Y62" s="457"/>
      <c r="Z62" s="457"/>
      <c r="AA62" s="457"/>
      <c r="AB62" s="684"/>
    </row>
    <row r="63" spans="1:28" x14ac:dyDescent="0.25">
      <c r="A63" s="726" t="s">
        <v>370</v>
      </c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8"/>
      <c r="M63" s="372">
        <f>(M60+M51+M44+M38+M34+M30+M26)/7</f>
        <v>50</v>
      </c>
      <c r="N63" s="372"/>
      <c r="O63" s="372">
        <f>(O60+O51+O44+O38+O34+O30+O26)/7</f>
        <v>25.758608422485832</v>
      </c>
      <c r="P63" s="372"/>
      <c r="Q63" s="372"/>
      <c r="R63" s="372"/>
      <c r="S63" s="372">
        <f>M63</f>
        <v>50</v>
      </c>
      <c r="T63" s="372"/>
      <c r="U63" s="372">
        <f>U62/L62*100</f>
        <v>98.072135148703182</v>
      </c>
      <c r="V63" s="373"/>
      <c r="W63" s="373"/>
      <c r="X63" s="373"/>
      <c r="Y63" s="372">
        <f>(Y60+Y55+Y49+Y45+Y35+Y31+Y26+Y39)/10</f>
        <v>72.883061383061374</v>
      </c>
      <c r="Z63" s="372"/>
      <c r="AA63" s="372">
        <f>(AA60+AA55+AA49+AA45+AA35+AA31+AA26+AA39)/10</f>
        <v>10.987470866676787</v>
      </c>
      <c r="AB63" s="374"/>
    </row>
    <row r="64" spans="1:28" ht="15.75" thickBot="1" x14ac:dyDescent="0.3">
      <c r="A64" s="720" t="s">
        <v>371</v>
      </c>
      <c r="B64" s="721"/>
      <c r="C64" s="721"/>
      <c r="D64" s="721"/>
      <c r="E64" s="721"/>
      <c r="F64" s="721"/>
      <c r="G64" s="721"/>
      <c r="H64" s="721"/>
      <c r="I64" s="721"/>
      <c r="J64" s="721"/>
      <c r="K64" s="721"/>
      <c r="L64" s="722"/>
      <c r="M64" s="386" t="s">
        <v>51</v>
      </c>
      <c r="N64" s="386"/>
      <c r="O64" s="386" t="s">
        <v>56</v>
      </c>
      <c r="P64" s="386"/>
      <c r="Q64" s="386"/>
      <c r="R64" s="386"/>
      <c r="S64" s="386" t="s">
        <v>51</v>
      </c>
      <c r="T64" s="386"/>
      <c r="U64" s="386" t="s">
        <v>51</v>
      </c>
      <c r="V64" s="387"/>
      <c r="W64" s="387"/>
      <c r="X64" s="387"/>
      <c r="Y64" s="387"/>
      <c r="Z64" s="387"/>
      <c r="AA64" s="387"/>
      <c r="AB64" s="388"/>
    </row>
    <row r="65" spans="1:47" s="1" customFormat="1" x14ac:dyDescent="0.25">
      <c r="A65" s="681" t="s">
        <v>385</v>
      </c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8"/>
      <c r="V65" s="329"/>
      <c r="W65" s="329"/>
      <c r="X65" s="330"/>
      <c r="Y65" s="329"/>
      <c r="Z65" s="329"/>
      <c r="AA65" s="331"/>
      <c r="AB65" s="329"/>
      <c r="AC65" s="329"/>
      <c r="AD65" s="329"/>
      <c r="AE65" s="329"/>
      <c r="AF65" s="329"/>
      <c r="AG65" s="332"/>
      <c r="AH65" s="333"/>
      <c r="AI65" s="334"/>
      <c r="AJ65" s="335">
        <v>7107003.8200000003</v>
      </c>
      <c r="AK65" s="335"/>
      <c r="AL65" s="335"/>
      <c r="AM65" s="335"/>
      <c r="AN65" s="335"/>
      <c r="AO65" s="335"/>
      <c r="AP65" s="335"/>
      <c r="AQ65" s="336"/>
      <c r="AR65" s="336"/>
      <c r="AS65" s="337"/>
      <c r="AT65" s="337"/>
      <c r="AU65" s="338"/>
    </row>
    <row r="66" spans="1:47" s="1" customFormat="1" ht="12.75" x14ac:dyDescent="0.25">
      <c r="A66" s="718" t="s">
        <v>567</v>
      </c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682"/>
      <c r="Q66" s="682"/>
      <c r="R66" s="682"/>
      <c r="S66" s="327"/>
      <c r="T66" s="327"/>
      <c r="U66" s="339">
        <f>(U59+U38+U74)/11</f>
        <v>0</v>
      </c>
      <c r="V66" s="339">
        <f>(V59+V38)/11</f>
        <v>9.0909090909090912E-2</v>
      </c>
      <c r="W66" s="339"/>
      <c r="X66" s="340">
        <f>(X59+X38)/11</f>
        <v>6286.818181818182</v>
      </c>
      <c r="Y66" s="339">
        <f>(Y59+Y38)/11</f>
        <v>24.242424242424239</v>
      </c>
      <c r="Z66" s="339"/>
      <c r="AA66" s="341">
        <f>(AA59+AA38)/11</f>
        <v>13.083716354768988</v>
      </c>
      <c r="AB66" s="489"/>
      <c r="AC66" s="339"/>
      <c r="AD66" s="339"/>
      <c r="AE66" s="339"/>
      <c r="AF66" s="339"/>
      <c r="AG66" s="339">
        <f>(AG59+AG38)/11</f>
        <v>0</v>
      </c>
      <c r="AH66" s="340" t="e">
        <f>(#REF!+#REF!+AH59+AH38+#REF!+#REF!+#REF!+#REF!+#REF!+#REF!+#REF!)/11</f>
        <v>#REF!</v>
      </c>
      <c r="AI66" s="341" t="e">
        <f>(#REF!+#REF!+AI59+AI38+#REF!+#REF!+#REF!+#REF!+#REF!+#REF!+#REF!)/11</f>
        <v>#REF!</v>
      </c>
      <c r="AJ66" s="339" t="e">
        <f>AJ65/S69*100</f>
        <v>#DIV/0!</v>
      </c>
      <c r="AK66" s="339"/>
      <c r="AL66" s="339"/>
      <c r="AM66" s="339"/>
      <c r="AN66" s="339"/>
      <c r="AO66" s="339"/>
      <c r="AP66" s="339"/>
      <c r="AQ66" s="68"/>
      <c r="AR66" s="68"/>
      <c r="AS66" s="342" t="e">
        <f>(#REF!+#REF!+AS59+AS38+#REF!+#REF!+#REF!+#REF!+#REF!+#REF!+#REF!)/11</f>
        <v>#REF!</v>
      </c>
      <c r="AT66" s="342" t="e">
        <f>(#REF!+#REF!+AT59+AT38+#REF!+#REF!+#REF!+#REF!+#REF!+#REF!+#REF!)/11</f>
        <v>#REF!</v>
      </c>
      <c r="AU66" s="70"/>
    </row>
    <row r="67" spans="1:47" s="1" customFormat="1" ht="12.75" x14ac:dyDescent="0.25">
      <c r="A67" s="681" t="s">
        <v>386</v>
      </c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670"/>
      <c r="U67" s="343"/>
      <c r="V67" s="343"/>
      <c r="W67" s="343"/>
      <c r="X67" s="344"/>
      <c r="Y67" s="343"/>
      <c r="Z67" s="343"/>
      <c r="AA67" s="345"/>
      <c r="AB67" s="343"/>
      <c r="AC67" s="343"/>
      <c r="AD67" s="343"/>
      <c r="AE67" s="343"/>
      <c r="AF67" s="343"/>
      <c r="AG67" s="343"/>
      <c r="AH67" s="344"/>
      <c r="AI67" s="345"/>
      <c r="AJ67" s="343"/>
      <c r="AK67" s="343"/>
      <c r="AL67" s="343"/>
      <c r="AM67" s="343"/>
      <c r="AN67" s="343"/>
      <c r="AO67" s="343"/>
      <c r="AP67" s="343"/>
      <c r="AQ67" s="346"/>
      <c r="AR67" s="346"/>
      <c r="AS67" s="347"/>
      <c r="AT67" s="347"/>
      <c r="AU67" s="348"/>
    </row>
    <row r="68" spans="1:47" s="1" customFormat="1" ht="13.5" thickBot="1" x14ac:dyDescent="0.3">
      <c r="A68" s="681" t="s">
        <v>384</v>
      </c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670"/>
      <c r="U68" s="349" t="s">
        <v>51</v>
      </c>
      <c r="V68" s="349" t="s">
        <v>51</v>
      </c>
      <c r="W68" s="349"/>
      <c r="X68" s="350" t="s">
        <v>47</v>
      </c>
      <c r="Y68" s="349" t="s">
        <v>56</v>
      </c>
      <c r="Z68" s="349"/>
      <c r="AA68" s="351"/>
      <c r="AB68" s="349"/>
      <c r="AC68" s="349"/>
      <c r="AD68" s="349"/>
      <c r="AE68" s="349"/>
      <c r="AF68" s="349"/>
      <c r="AG68" s="349"/>
      <c r="AH68" s="352"/>
      <c r="AI68" s="351" t="s">
        <v>47</v>
      </c>
      <c r="AJ68" s="349" t="s">
        <v>51</v>
      </c>
      <c r="AK68" s="349"/>
      <c r="AL68" s="349"/>
      <c r="AM68" s="349"/>
      <c r="AN68" s="349"/>
      <c r="AO68" s="349"/>
      <c r="AP68" s="349"/>
      <c r="AQ68" s="353"/>
      <c r="AR68" s="353"/>
      <c r="AS68" s="353"/>
      <c r="AT68" s="353"/>
      <c r="AU68" s="354"/>
    </row>
    <row r="70" spans="1:47" x14ac:dyDescent="0.25">
      <c r="X70" s="826" t="s">
        <v>568</v>
      </c>
      <c r="Y70" s="826"/>
      <c r="Z70" s="826"/>
      <c r="AA70" s="826"/>
      <c r="AB70" s="826"/>
      <c r="AD70" t="s">
        <v>430</v>
      </c>
    </row>
    <row r="72" spans="1:47" x14ac:dyDescent="0.25">
      <c r="X72" s="692" t="s">
        <v>546</v>
      </c>
      <c r="Y72" s="692"/>
      <c r="Z72" s="692"/>
      <c r="AA72" s="692"/>
      <c r="AB72" s="692"/>
    </row>
    <row r="76" spans="1:47" x14ac:dyDescent="0.25">
      <c r="X76" s="693" t="s">
        <v>547</v>
      </c>
      <c r="Y76" s="693"/>
      <c r="Z76" s="693"/>
      <c r="AA76" s="693"/>
      <c r="AB76" s="693"/>
    </row>
    <row r="77" spans="1:47" x14ac:dyDescent="0.25">
      <c r="X77" s="692" t="s">
        <v>548</v>
      </c>
      <c r="Y77" s="692"/>
      <c r="Z77" s="692"/>
      <c r="AA77" s="692"/>
      <c r="AB77" s="692"/>
    </row>
  </sheetData>
  <mergeCells count="50">
    <mergeCell ref="A2:AB2"/>
    <mergeCell ref="A3:AB3"/>
    <mergeCell ref="A4:AB4"/>
    <mergeCell ref="A6:A8"/>
    <mergeCell ref="B6:B8"/>
    <mergeCell ref="C6:C8"/>
    <mergeCell ref="D6:D8"/>
    <mergeCell ref="E6:G7"/>
    <mergeCell ref="H6:I7"/>
    <mergeCell ref="J6:L7"/>
    <mergeCell ref="C26:L26"/>
    <mergeCell ref="M6:O6"/>
    <mergeCell ref="P6:R6"/>
    <mergeCell ref="S6:U7"/>
    <mergeCell ref="V6:X7"/>
    <mergeCell ref="E8:F8"/>
    <mergeCell ref="A9:AB9"/>
    <mergeCell ref="A10:AB10"/>
    <mergeCell ref="B12:B13"/>
    <mergeCell ref="AB12:AB24"/>
    <mergeCell ref="Y6:AA7"/>
    <mergeCell ref="AB6:AB8"/>
    <mergeCell ref="M7:O7"/>
    <mergeCell ref="P7:R7"/>
    <mergeCell ref="C27:L27"/>
    <mergeCell ref="AB29:AB31"/>
    <mergeCell ref="C30:L30"/>
    <mergeCell ref="C31:L31"/>
    <mergeCell ref="AB33:AB35"/>
    <mergeCell ref="C34:L34"/>
    <mergeCell ref="C35:L35"/>
    <mergeCell ref="A62:J62"/>
    <mergeCell ref="AB37:AB39"/>
    <mergeCell ref="C38:L38"/>
    <mergeCell ref="C39:L39"/>
    <mergeCell ref="AB42:AB43"/>
    <mergeCell ref="A44:L44"/>
    <mergeCell ref="A45:L45"/>
    <mergeCell ref="AB47:AB49"/>
    <mergeCell ref="C51:L51"/>
    <mergeCell ref="C52:L52"/>
    <mergeCell ref="A60:L60"/>
    <mergeCell ref="A61:L61"/>
    <mergeCell ref="X77:AB77"/>
    <mergeCell ref="A63:L63"/>
    <mergeCell ref="A64:L64"/>
    <mergeCell ref="A66:O66"/>
    <mergeCell ref="X70:AB70"/>
    <mergeCell ref="X72:AB72"/>
    <mergeCell ref="X76:AB76"/>
  </mergeCells>
  <pageMargins left="0.25" right="0.25" top="0.75" bottom="0.75" header="0.3" footer="0.3"/>
  <pageSetup paperSize="10000" scale="7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Lap Ev Renja TW 1 </vt:lpstr>
      <vt:lpstr>contoh Form Lap Ev. Renstra</vt:lpstr>
      <vt:lpstr>Lap. Evaluasi Renstra 2020</vt:lpstr>
      <vt:lpstr>Lap. evaluasi renja semester 1</vt:lpstr>
      <vt:lpstr>Lap. evaluasi renja semeste (2</vt:lpstr>
      <vt:lpstr>Sheet1</vt:lpstr>
      <vt:lpstr>'Lap Ev Renja TW 1 '!Print_Area</vt:lpstr>
      <vt:lpstr>'Lap. evaluasi renja semeste (2'!Print_Area</vt:lpstr>
      <vt:lpstr>'Lap. evaluasi renja semester 1'!Print_Area</vt:lpstr>
      <vt:lpstr>'Lap. Evaluasi Renstra 2020'!Print_Area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2021-03-22T02:38:00Z</dcterms:modified>
</cp:coreProperties>
</file>